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7455" windowHeight="2295" activeTab="0"/>
  </bookViews>
  <sheets>
    <sheet name="Explanation of categories" sheetId="1" r:id="rId1"/>
    <sheet name="Standard values" sheetId="2" r:id="rId2"/>
    <sheet name="Organic values" sheetId="3" r:id="rId3"/>
  </sheets>
  <definedNames>
    <definedName name="_xlnm._FilterDatabase" localSheetId="1" hidden="1">'Standard values'!$A$23:$AF$123</definedName>
    <definedName name="_xlfn.ANCHORARRAY" hidden="1">#NAME?</definedName>
    <definedName name="Excel_BuiltIn__FilterDatabase" localSheetId="2">'Organic values'!$A$23:$A$123</definedName>
    <definedName name="Excel_BuiltIn__FilterDatabase" localSheetId="1">'Standard values'!$A$23:$A$123</definedName>
  </definedNames>
  <calcPr fullCalcOnLoad="1"/>
</workbook>
</file>

<file path=xl/sharedStrings.xml><?xml version="1.0" encoding="utf-8"?>
<sst xmlns="http://schemas.openxmlformats.org/spreadsheetml/2006/main" count="810" uniqueCount="378">
  <si>
    <t>How to use:</t>
  </si>
  <si>
    <t>REPORT</t>
  </si>
  <si>
    <t>Name</t>
  </si>
  <si>
    <t>Date</t>
  </si>
  <si>
    <t>Total crop value</t>
  </si>
  <si>
    <t>Bee value</t>
  </si>
  <si>
    <t>% directly from bees</t>
  </si>
  <si>
    <t>Crop</t>
  </si>
  <si>
    <t>Individual crop value</t>
  </si>
  <si>
    <t>Individual crop bee value</t>
  </si>
  <si>
    <t>Weight in g (total)</t>
  </si>
  <si>
    <t>shop value</t>
  </si>
  <si>
    <t>bee value</t>
  </si>
  <si>
    <t>av g per unit</t>
  </si>
  <si>
    <t>Price per g (or 1)</t>
  </si>
  <si>
    <t>per 100g</t>
  </si>
  <si>
    <t>Pollination requirement</t>
  </si>
  <si>
    <t>Source of price</t>
  </si>
  <si>
    <t>Almonds</t>
  </si>
  <si>
    <t>Waitrose 2018</t>
  </si>
  <si>
    <t>Amaranth (seeds)</t>
  </si>
  <si>
    <t>Apples (cooking)</t>
  </si>
  <si>
    <t>Ocado 2018</t>
  </si>
  <si>
    <t>Abel &amp; Cole</t>
  </si>
  <si>
    <t>Waitrose (loose apples) 2018</t>
  </si>
  <si>
    <t>Apples (eating)</t>
  </si>
  <si>
    <t>Apricots</t>
  </si>
  <si>
    <t>Artichokes (globe)</t>
  </si>
  <si>
    <t>Asparagus</t>
  </si>
  <si>
    <t>Aubergine</t>
  </si>
  <si>
    <t>Sainsburys 2018</t>
  </si>
  <si>
    <t>Beetroot</t>
  </si>
  <si>
    <t>Bilberries</t>
  </si>
  <si>
    <t>Waitrose</t>
  </si>
  <si>
    <t>Used blueberry prices</t>
  </si>
  <si>
    <t>Blackberries</t>
  </si>
  <si>
    <t>Blackcurrants</t>
  </si>
  <si>
    <t>Blueberries</t>
  </si>
  <si>
    <t>Borlotti beans</t>
  </si>
  <si>
    <t>Waitrose 2018 (tinned)</t>
  </si>
  <si>
    <t>Boysenberry</t>
  </si>
  <si>
    <t>Used raspberry values</t>
  </si>
  <si>
    <t>Broad beans</t>
  </si>
  <si>
    <t>Broccoli (head)</t>
  </si>
  <si>
    <t>Broccoli (sprouting)</t>
  </si>
  <si>
    <t>Brussel sprouts</t>
  </si>
  <si>
    <t>Bullace</t>
  </si>
  <si>
    <t>Use damson price</t>
  </si>
  <si>
    <t>Cabbage</t>
  </si>
  <si>
    <t>Cape Gooseberry</t>
  </si>
  <si>
    <t>Carrots</t>
  </si>
  <si>
    <t>Celeriac</t>
  </si>
  <si>
    <t>Celery</t>
  </si>
  <si>
    <t>Chard</t>
  </si>
  <si>
    <t>Cherry</t>
  </si>
  <si>
    <t>Chestnut (edible)</t>
  </si>
  <si>
    <t>Chicory</t>
  </si>
  <si>
    <t>Chillies</t>
  </si>
  <si>
    <t>Chives</t>
  </si>
  <si>
    <t>Coriander (seeds)</t>
  </si>
  <si>
    <t>Courgettes / marrows</t>
  </si>
  <si>
    <t>Crab apples</t>
  </si>
  <si>
    <t>Cranberries</t>
  </si>
  <si>
    <t>Cucumbers</t>
  </si>
  <si>
    <t>Daikon / Mooli</t>
  </si>
  <si>
    <t>Damsons</t>
  </si>
  <si>
    <t>Farmer's market</t>
  </si>
  <si>
    <t>Elderberries</t>
  </si>
  <si>
    <t>Fennel</t>
  </si>
  <si>
    <t>Figs</t>
  </si>
  <si>
    <t>Fresh herbs (leaf)</t>
  </si>
  <si>
    <t>Garlic</t>
  </si>
  <si>
    <t>Gooseberries (cooking)</t>
  </si>
  <si>
    <t>Gooseberries (dessert)</t>
  </si>
  <si>
    <t>Grapes</t>
  </si>
  <si>
    <t>Green beans (French beans)</t>
  </si>
  <si>
    <t>Greengage</t>
  </si>
  <si>
    <t>Hazelnuts</t>
  </si>
  <si>
    <t>Japanese wineberries</t>
  </si>
  <si>
    <t>Jerusalem artichokes</t>
  </si>
  <si>
    <t>Jostaberries</t>
  </si>
  <si>
    <t>Kale</t>
  </si>
  <si>
    <t>Same as dessert gooseberries</t>
  </si>
  <si>
    <t>Kiwi</t>
  </si>
  <si>
    <t>Waitrose 2013</t>
  </si>
  <si>
    <t>Kohlrabi</t>
  </si>
  <si>
    <t>Leeks</t>
  </si>
  <si>
    <t>Lemon</t>
  </si>
  <si>
    <t>Limes</t>
  </si>
  <si>
    <t>Loganberries / Tayberries</t>
  </si>
  <si>
    <t>Medlar</t>
  </si>
  <si>
    <t>Mullberry</t>
  </si>
  <si>
    <t>Mushrooms</t>
  </si>
  <si>
    <t>Nectarine</t>
  </si>
  <si>
    <t>Onions (root)</t>
  </si>
  <si>
    <t>Onions (shallots)</t>
  </si>
  <si>
    <t>Waitrose (midway between white and red onions)</t>
  </si>
  <si>
    <t>Onions (spring)</t>
  </si>
  <si>
    <t>Orange</t>
  </si>
  <si>
    <t>Other brassicas (e.g. spring greens)</t>
  </si>
  <si>
    <t>Pak choi</t>
  </si>
  <si>
    <t>Parsnips</t>
  </si>
  <si>
    <t>Passion fruit</t>
  </si>
  <si>
    <t>Peach</t>
  </si>
  <si>
    <t>Pears</t>
  </si>
  <si>
    <t>Peas (any edible type)</t>
  </si>
  <si>
    <t>Peppers</t>
  </si>
  <si>
    <t>Plum</t>
  </si>
  <si>
    <t>Waitrose 2018 (mid between bell and romano peppers)</t>
  </si>
  <si>
    <t>Potatoes (main crop)</t>
  </si>
  <si>
    <t>Potatoes (new / salad)</t>
  </si>
  <si>
    <t>Quinces</t>
  </si>
  <si>
    <t>Quinoa (seeds)</t>
  </si>
  <si>
    <t>Radish</t>
  </si>
  <si>
    <t>Raspberries</t>
  </si>
  <si>
    <t>Redcurrants</t>
  </si>
  <si>
    <t>Rhubarb</t>
  </si>
  <si>
    <t>Rosehips</t>
  </si>
  <si>
    <t>Runner beans</t>
  </si>
  <si>
    <t>Salsify</t>
  </si>
  <si>
    <t>Sloe</t>
  </si>
  <si>
    <t>Squash (summer)</t>
  </si>
  <si>
    <t>Squash (winter + pumpkins)</t>
  </si>
  <si>
    <t>Strawberries</t>
  </si>
  <si>
    <t>Swede</t>
  </si>
  <si>
    <t>Sweetcorn (babycorn)</t>
  </si>
  <si>
    <t>Sweetcorn (cobs)</t>
  </si>
  <si>
    <t>Tomatoes (cherry)</t>
  </si>
  <si>
    <t>Tomatoes (larger)</t>
  </si>
  <si>
    <t>Turnip</t>
  </si>
  <si>
    <t>Walnuts</t>
  </si>
  <si>
    <t>White currants</t>
  </si>
  <si>
    <t>Handful gs</t>
  </si>
  <si>
    <t>Mugful gs</t>
  </si>
  <si>
    <t>Packet gs</t>
  </si>
  <si>
    <t>Calculated oz in g</t>
  </si>
  <si>
    <t>Calculated individual</t>
  </si>
  <si>
    <r>
      <t xml:space="preserve">(or)
in </t>
    </r>
    <r>
      <rPr>
        <b/>
        <sz val="11"/>
        <color indexed="8"/>
        <rFont val="Calibri"/>
        <family val="2"/>
      </rPr>
      <t>Ounces</t>
    </r>
  </si>
  <si>
    <r>
      <t xml:space="preserve">in </t>
    </r>
    <r>
      <rPr>
        <b/>
        <sz val="11"/>
        <color indexed="8"/>
        <rFont val="Calibri"/>
        <family val="2"/>
      </rPr>
      <t>Grams</t>
    </r>
  </si>
  <si>
    <r>
      <t xml:space="preserve">(or)
in </t>
    </r>
    <r>
      <rPr>
        <b/>
        <sz val="11"/>
        <color indexed="8"/>
        <rFont val="Calibri"/>
        <family val="2"/>
      </rPr>
      <t>Handfuls</t>
    </r>
  </si>
  <si>
    <r>
      <t xml:space="preserve">(or) 
</t>
    </r>
    <r>
      <rPr>
        <b/>
        <sz val="11"/>
        <color indexed="8"/>
        <rFont val="Calibri"/>
        <family val="2"/>
      </rPr>
      <t>Number</t>
    </r>
    <r>
      <rPr>
        <sz val="11"/>
        <color indexed="8"/>
        <rFont val="Calibri"/>
        <family val="2"/>
      </rPr>
      <t xml:space="preserve"> of items</t>
    </r>
  </si>
  <si>
    <r>
      <t xml:space="preserve">(or)
in </t>
    </r>
    <r>
      <rPr>
        <b/>
        <sz val="11"/>
        <color indexed="8"/>
        <rFont val="Calibri"/>
        <family val="2"/>
      </rPr>
      <t>Mugfuls</t>
    </r>
  </si>
  <si>
    <t>Measurement types:</t>
  </si>
  <si>
    <r>
      <rPr>
        <b/>
        <sz val="11"/>
        <color indexed="8"/>
        <rFont val="Calibri"/>
        <family val="2"/>
      </rPr>
      <t>Handfuls.</t>
    </r>
    <r>
      <rPr>
        <sz val="11"/>
        <color indexed="8"/>
        <rFont val="Calibri"/>
        <family val="2"/>
      </rPr>
      <t xml:space="preserve">
Hands vary, so assume a handful = approx. an apple’s worth</t>
    </r>
  </si>
  <si>
    <r>
      <t xml:space="preserve">(or)
in </t>
    </r>
    <r>
      <rPr>
        <b/>
        <sz val="11"/>
        <color indexed="8"/>
        <rFont val="Calibri"/>
        <family val="2"/>
      </rPr>
      <t>Packets</t>
    </r>
  </si>
  <si>
    <r>
      <rPr>
        <b/>
        <sz val="11"/>
        <color indexed="8"/>
        <rFont val="Calibri"/>
        <family val="2"/>
      </rPr>
      <t xml:space="preserve">Packets. </t>
    </r>
    <r>
      <rPr>
        <sz val="11"/>
        <color indexed="8"/>
        <rFont val="Calibri"/>
        <family val="2"/>
      </rPr>
      <t>About as much as you would buy in a standard shop bag (for e.g. salad, fresh herbs)</t>
    </r>
  </si>
  <si>
    <r>
      <rPr>
        <b/>
        <sz val="11"/>
        <color indexed="63"/>
        <rFont val="Calibri"/>
        <family val="2"/>
      </rPr>
      <t xml:space="preserve">Number </t>
    </r>
    <r>
      <rPr>
        <sz val="11"/>
        <color indexed="63"/>
        <rFont val="Calibri"/>
        <family val="2"/>
      </rPr>
      <t>of items.
Tallies or counts of individual items. Better for big things (like squash).</t>
    </r>
  </si>
  <si>
    <r>
      <rPr>
        <b/>
        <sz val="11"/>
        <color indexed="8"/>
        <rFont val="Calibri"/>
        <family val="2"/>
      </rPr>
      <t>Weighed out.</t>
    </r>
    <r>
      <rPr>
        <sz val="11"/>
        <color indexed="8"/>
        <rFont val="Calibri"/>
        <family val="2"/>
      </rPr>
      <t xml:space="preserve">
In grams / ounces.</t>
    </r>
  </si>
  <si>
    <t>&lt;- this table updates automatically</t>
  </si>
  <si>
    <t>Hi folks!</t>
  </si>
  <si>
    <t>Record each harvest below:</t>
  </si>
  <si>
    <r>
      <t xml:space="preserve">This spreadsheet will calculate:
1) The </t>
    </r>
    <r>
      <rPr>
        <b/>
        <sz val="12"/>
        <color indexed="8"/>
        <rFont val="Calibri"/>
        <family val="2"/>
      </rPr>
      <t>total</t>
    </r>
    <r>
      <rPr>
        <sz val="12"/>
        <color indexed="8"/>
        <rFont val="Calibri"/>
        <family val="2"/>
      </rPr>
      <t xml:space="preserve"> value of your year's harvest, if you had had to buy it from a shop.
2) The value of the harvest that is </t>
    </r>
    <r>
      <rPr>
        <b/>
        <i/>
        <sz val="12"/>
        <color indexed="8"/>
        <rFont val="Calibri"/>
        <family val="2"/>
      </rPr>
      <t>directly</t>
    </r>
    <r>
      <rPr>
        <sz val="12"/>
        <color indexed="8"/>
        <rFont val="Calibri"/>
        <family val="2"/>
      </rPr>
      <t xml:space="preserve">attributable to insect pollination.
3) The </t>
    </r>
    <r>
      <rPr>
        <b/>
        <sz val="12"/>
        <color indexed="8"/>
        <rFont val="Calibri"/>
        <family val="2"/>
      </rPr>
      <t>percentage</t>
    </r>
    <r>
      <rPr>
        <sz val="12"/>
        <color indexed="8"/>
        <rFont val="Calibri"/>
        <family val="2"/>
      </rPr>
      <t xml:space="preserve"> of your harvest value that is attributable to insect pollination.
Only </t>
    </r>
    <r>
      <rPr>
        <b/>
        <sz val="12"/>
        <color indexed="8"/>
        <rFont val="Calibri"/>
        <family val="2"/>
      </rPr>
      <t>green</t>
    </r>
    <r>
      <rPr>
        <sz val="12"/>
        <color indexed="8"/>
        <rFont val="Calibri"/>
        <family val="2"/>
      </rPr>
      <t xml:space="preserve"> cells can be edited.  Please use the most appropriate measure for each harvest /picking.  
You can use different measures for different harvests (e.g. picked 350g apples on day 1, but couldn't weigh the apples picked next day so put a count of 3 instead).
Consider all crops in the state you would tend to buy them fresh from a shop (e.g. nuts shelled; beans and peas in their pods).</t>
    </r>
  </si>
  <si>
    <t>^  This graph will appear when there are values in the table!</t>
  </si>
  <si>
    <t>From bees</t>
  </si>
  <si>
    <t>Not from bees</t>
  </si>
  <si>
    <r>
      <t xml:space="preserve">
</t>
    </r>
    <r>
      <rPr>
        <b/>
        <sz val="11"/>
        <color indexed="8"/>
        <rFont val="Calibri"/>
        <family val="2"/>
      </rPr>
      <t xml:space="preserve">Mugfuls. </t>
    </r>
    <r>
      <rPr>
        <sz val="11"/>
        <color indexed="8"/>
        <rFont val="Calibri"/>
        <family val="2"/>
      </rPr>
      <t>Roughly how many mugs 
would it fill up? (e.g. for berries)</t>
    </r>
  </si>
  <si>
    <r>
      <t xml:space="preserve">This sheet uses </t>
    </r>
    <r>
      <rPr>
        <b/>
        <sz val="11"/>
        <color indexed="8"/>
        <rFont val="Calibri"/>
        <family val="2"/>
      </rPr>
      <t>standard</t>
    </r>
    <r>
      <rPr>
        <sz val="11"/>
        <color indexed="8"/>
        <rFont val="Calibri"/>
        <family val="2"/>
      </rPr>
      <t xml:space="preserve"> values.  If you garden organically, please use the 'organic' sheet</t>
    </r>
  </si>
  <si>
    <r>
      <t xml:space="preserve">This sheet uses </t>
    </r>
    <r>
      <rPr>
        <b/>
        <sz val="11"/>
        <color indexed="8"/>
        <rFont val="Calibri"/>
        <family val="2"/>
      </rPr>
      <t>organic</t>
    </r>
    <r>
      <rPr>
        <sz val="11"/>
        <color indexed="8"/>
        <rFont val="Calibri"/>
        <family val="2"/>
      </rPr>
      <t xml:space="preserve"> values.  If you do not garden organically, please use the 'standard' sheet</t>
    </r>
  </si>
  <si>
    <t>Happy Growing!
- Linda
buzzclub.uk@gmail.com</t>
  </si>
  <si>
    <r>
      <t xml:space="preserve">If you've used the Garden Shop calculator before, you might notice that we have added in some extra categories of measurement (you don't have to use these if you don't want to).
These </t>
    </r>
    <r>
      <rPr>
        <b/>
        <sz val="11"/>
        <color indexed="8"/>
        <rFont val="Calibri"/>
        <family val="2"/>
      </rPr>
      <t>more approximate</t>
    </r>
    <r>
      <rPr>
        <sz val="11"/>
        <color indexed="8"/>
        <rFont val="Calibri"/>
        <family val="2"/>
      </rPr>
      <t xml:space="preserve"> categories have been added based on requests from volunteers who grow in places where they don't have access to scales, or where picked produce is immediately used for cooking without chance to weigh it (e.g. allotments, community gardens).
The spreadsheet now also accepts </t>
    </r>
    <r>
      <rPr>
        <b/>
        <sz val="11"/>
        <color indexed="8"/>
        <rFont val="Calibri"/>
        <family val="2"/>
      </rPr>
      <t>multiple types of measurement</t>
    </r>
    <r>
      <rPr>
        <sz val="11"/>
        <color indexed="8"/>
        <rFont val="Calibri"/>
        <family val="2"/>
      </rPr>
      <t xml:space="preserve"> for one crop.  Please only use one type for </t>
    </r>
    <r>
      <rPr>
        <b/>
        <sz val="11"/>
        <color indexed="8"/>
        <rFont val="Calibri"/>
        <family val="2"/>
      </rPr>
      <t xml:space="preserve">each harvest, </t>
    </r>
    <r>
      <rPr>
        <sz val="11"/>
        <color indexed="8"/>
        <rFont val="Calibri"/>
        <family val="2"/>
      </rPr>
      <t>but if e.g. you were able to weigh one week's harvest, and have to estimate the next in handfuls, you can add them both to the table.</t>
    </r>
  </si>
  <si>
    <t>Salad leaves</t>
  </si>
  <si>
    <t>Old source</t>
  </si>
  <si>
    <t>Old price</t>
  </si>
  <si>
    <t>organic price</t>
  </si>
  <si>
    <t>Waitrose 2022</t>
  </si>
  <si>
    <t>Ocado 2022</t>
  </si>
  <si>
    <t>Used raspberry values 2022</t>
  </si>
  <si>
    <t>Use damson price 2022</t>
  </si>
  <si>
    <t>Farmer's market 2022</t>
  </si>
  <si>
    <t>Same as dessert gooseberries 2022</t>
  </si>
  <si>
    <t>link</t>
  </si>
  <si>
    <t>paper?</t>
  </si>
  <si>
    <t>https://www.waitrose.com/ecom/shop/browse/groceries/food_cupboard/crisps_snacks_and_nuts/nuts_seeds_and_dried_fruit/nuts/almonds?cat=269681&amp;sortBy=MOST_POPULAR</t>
  </si>
  <si>
    <t>other info</t>
  </si>
  <si>
    <t>Waitrose own brand is organic, so value the same as organic value</t>
  </si>
  <si>
    <t>Ocado 2022 (Biona organbic amaranth; 500g)</t>
  </si>
  <si>
    <t>https://www.ocado.com/products/biona-organic-amaranth-supergrain-269957011</t>
  </si>
  <si>
    <t>organic value same</t>
  </si>
  <si>
    <t>Waitrose (Essentials; bramley cooking apples); 2022</t>
  </si>
  <si>
    <t>https://www.waitrose.com/ecom/products/essential-british-bramley-cooking-apples/088601-45483-45484</t>
  </si>
  <si>
    <t>Waitrose (Essentials; seasonal apples) 2022</t>
  </si>
  <si>
    <t>https://www.waitrose.com/ecom/products/essential-seasonal-apples/088652-45537-45538</t>
  </si>
  <si>
    <t>https://www.waitrose.com/ecom/products/essential-home-ripening-apricots/088133-45115-45116</t>
  </si>
  <si>
    <t xml:space="preserve">Waitrose (Essential, home ripening apricots); 2022. </t>
  </si>
  <si>
    <t>Also updated individual weight based on 8 apricots in a stated 320g pack).</t>
  </si>
  <si>
    <t>https://www.researchgate.net/figure/Fresh-weight-mean-SD-of-different-artichoke-head-parts-g_tbl1_325323943</t>
  </si>
  <si>
    <t>also updated individual weight based on paper linked in reference</t>
  </si>
  <si>
    <t>https://www.waitrose.com/ecom/products/waitrose-asparagus/085482-43550-43551</t>
  </si>
  <si>
    <t>https://www.waitrose.com/ecom/products/duchy-organic-asparagus/085532-43618-43619</t>
  </si>
  <si>
    <t>Waitrose 2022 (Essentials)</t>
  </si>
  <si>
    <t>https://www.waitrose.com/ecom/products/essential-aubergine/085489-43562-43563</t>
  </si>
  <si>
    <t>https://www.waitrose.com/ecom/products/duchy-organic-aubergine/453475-538584-538585</t>
  </si>
  <si>
    <t>Waitrose 2022; bunched fresh beetroot</t>
  </si>
  <si>
    <t>https://www.waitrose.com/ecom/products/bunched-beetroot/085156-43248-43249</t>
  </si>
  <si>
    <t>https://www.waitrose.com/ecom/products/duchy-organic-beetroot/085562-43657-43658</t>
  </si>
  <si>
    <t>same price as cooked baby beetroot; so that is the organic comparison too</t>
  </si>
  <si>
    <t>Used blueberry prices 2022; waitrose</t>
  </si>
  <si>
    <t>https://www.waitrose.com/ecom/products/essential-blueberries/088036-45014-45015</t>
  </si>
  <si>
    <t>https://www.waitrose.com/ecom/products/duchy-organic-blueberries/088973-45748-45749</t>
  </si>
  <si>
    <t>Waitrose 2022; essentials</t>
  </si>
  <si>
    <t>https://www.waitrose.com/ecom/products/essential-blackberries/088065-45057-45058</t>
  </si>
  <si>
    <t>https://www.abelandcole.co.uk/blackberries-organic-125g?altmenu=carrot</t>
  </si>
  <si>
    <t>No organic option available for supermarkets</t>
  </si>
  <si>
    <t>https://www.riverford.co.uk/organic-fruit-veg-and-salad/fruit/blackcurrants</t>
  </si>
  <si>
    <t>Riverford 2022 (organic)</t>
  </si>
  <si>
    <t>Very few fresh options available; used organic value for both</t>
  </si>
  <si>
    <t>Waitrose 2022 (tinned; essentials)</t>
  </si>
  <si>
    <t>https://www.waitrose.com/ecom/products/essential-borlotti-beans/019527-9457-9458</t>
  </si>
  <si>
    <t>https://www.waitrose.com/ecom/products/epicure-organic-borlotti-beans/072645-36870-36871</t>
  </si>
  <si>
    <t>Epicure Organic Borlotti Beans</t>
  </si>
  <si>
    <t>https://www.waitrose.com/ecom/products/essential-raspberries/890609-151436-151437</t>
  </si>
  <si>
    <t>https://www.waitrose.com/ecom/products/duchy-organic-raspberries/096831-420677-49494</t>
  </si>
  <si>
    <t>Waitrose Essentials 2022</t>
  </si>
  <si>
    <t>https://www.waitrose.com/ecom/products/essential-broad-beans/049237-24532-24533</t>
  </si>
  <si>
    <t>https://www.ocado.com/products/wholegood-organic-british-fresh-broad-beans-292197011</t>
  </si>
  <si>
    <t>Waitrose essentials 2022</t>
  </si>
  <si>
    <t>https://www.waitrose.com/ecom/products/essential-broccoli/085242-43323-43324</t>
  </si>
  <si>
    <t>Also updated individual weight based on website</t>
  </si>
  <si>
    <t>https://www.waitrose.com/ecom/products/duchy-organic-broccoli/477602-428563-67380</t>
  </si>
  <si>
    <t>https://www.waitrose.com/ecom/products/waitrose-tenderstem-broccoli-spears/521575-549946-549947</t>
  </si>
  <si>
    <t>https://www.waitrose.com/ecom/products/duchy-organic-tenderstem-broccoli/521800-73782-73783</t>
  </si>
  <si>
    <t>https://www.waitrose.com/ecom/products/waitrose-trimmed-baby-sprouts/393962-55357-55358</t>
  </si>
  <si>
    <t>https://www.riverford.co.uk/organic-fruit-veg-and-salad/vegetables/brussels-sprouts</t>
  </si>
  <si>
    <t>https://www.riverford.co.uk/organic-fruit-veg-and-salad/fruit/damsons</t>
  </si>
  <si>
    <t>Used organic for both; couldn't find another option at time or update</t>
  </si>
  <si>
    <t>Waitrose Essentials 2022; pointed cabbage</t>
  </si>
  <si>
    <t>https://www.waitrose.com/ecom/products/essential-pointed-spring-cabbage/085213-43285-43286</t>
  </si>
  <si>
    <t>https://www.waitrose.com/ecom/products/duchy-organic-pointed-spring-cabbage/085524-43608-43609</t>
  </si>
  <si>
    <t>https://www.abelandcole.co.uk/shop/product/4887?altmenu=carrot</t>
  </si>
  <si>
    <t>https://www.waitrose.com/ecom/products/waitrose-physalis/088241-45208-45209</t>
  </si>
  <si>
    <t>https://www.waitrose.com/ecom/products/essential-carrots/085125-43221-43222</t>
  </si>
  <si>
    <t>https://www.waitrose.com/ecom/products/duchy-organic-carrots/085581-43671-43672</t>
  </si>
  <si>
    <t>https://www.waitrose.com/ecom/products/celeriac/790547-693900-693901</t>
  </si>
  <si>
    <t>https://www.waitrose.com/ecom/products/essential-green-celery/086445-44146-44147</t>
  </si>
  <si>
    <t>https://www.waitrose.com/ecom/products/duchy-organic-celery/085556-43648-43649</t>
  </si>
  <si>
    <t>https://www.waitrose.com/ecom/products/waitrose-swiss-chard/642758-138093-138094</t>
  </si>
  <si>
    <t>https://www.riverford.co.uk/organic-fruit-veg-and-salad/vegetables/swiss-chard</t>
  </si>
  <si>
    <t>https://www.riverford.co.uk/organic-fruit-veg-and-salad/fruit/cherries</t>
  </si>
  <si>
    <t>https://www.waitrose.com/ecom/products/cherries/054073-27123-27124</t>
  </si>
  <si>
    <t>https://www.ocado.com/products/gefen-organic-chestnuts-50450011</t>
  </si>
  <si>
    <t>Waitrose 2022 (Merchant Gourmet)</t>
  </si>
  <si>
    <t>https://www.waitrose.com/ecom/products/merchant-gourmet-whole-chestnuts/834799-464698-464699</t>
  </si>
  <si>
    <t>https://www.waitrose.com/ecom/products/waitrose-chicory/086418-44126-44127</t>
  </si>
  <si>
    <t>https://www.riverford.co.uk/organic-fruit-veg-and-salad/vegetables/chicory</t>
  </si>
  <si>
    <t>https://www.waitrose.com/ecom/products/cooks-ingredients-red-chillies/080879-41159-41160</t>
  </si>
  <si>
    <t>https://www.ocado.com/products/natoora-organic-spanish-red-chillies-286098011</t>
  </si>
  <si>
    <t>https://www.waitrose.com/ecom/products/cooks-ingredients-chives/086104-43927-43928</t>
  </si>
  <si>
    <t>https://www.riverford.co.uk/organic-fruit-veg-and-salad/salad/chives</t>
  </si>
  <si>
    <t>https://www.waitrose.com/ecom/products/bart-coriander-seeds/007306-3397-3398</t>
  </si>
  <si>
    <t>Waitrose 2022 (Barts)</t>
  </si>
  <si>
    <t>Couldn't find consistent organic price, using the same</t>
  </si>
  <si>
    <t>https://www.waitrose.com/ecom/products/essential-courgettes/085437-43488-43489</t>
  </si>
  <si>
    <t>https://www.waitrose.com/ecom/products/duchy-organic-courgettes/520941-137985-137986</t>
  </si>
  <si>
    <t>https://www.abelandcole.co.uk/shop/product/5080/crab-apples-organic-750g?altmenu=carrot</t>
  </si>
  <si>
    <t>Could not find consistent non-organic values, so using those for both</t>
  </si>
  <si>
    <t>https://www.waitrose.com/ecom/products/cooks-ingredients-frozen-cranberries/600726-673423-673424</t>
  </si>
  <si>
    <t>https://www.waitrose.com/ecom/products/essential-cucumber/086468-44158-44159</t>
  </si>
  <si>
    <t>Waitrose Essential 2022</t>
  </si>
  <si>
    <t>https://www.waitrose.com/ecom/products/duchy-organic-salad-cucumber/564598-79966-79967</t>
  </si>
  <si>
    <t>https://www.ocado.com/products/ocado-mooli-64511011</t>
  </si>
  <si>
    <t>https://www.riverford.co.uk/shop/daikon-radish</t>
  </si>
  <si>
    <t>No information found for fresh</t>
  </si>
  <si>
    <t>https://www.buywholefoodsonline.co.uk/organic-elderberries.html</t>
  </si>
  <si>
    <t>Various / dried</t>
  </si>
  <si>
    <t>https://www.waitrose.com/ecom/products/fennel/672137-693810-693811</t>
  </si>
  <si>
    <t>https://www.ocado.com/products/wholegood-organic-fennel-296780011</t>
  </si>
  <si>
    <t>https://www.waitrose.com/ecom/products/waitrose-speciality-figs/088285-45260-45261</t>
  </si>
  <si>
    <t>https://www.ocado.com/products/m-s-figs-perfectly-ripe-517702011</t>
  </si>
  <si>
    <t>Ocado</t>
  </si>
  <si>
    <t>https://www.waitrose.com/ecom/shop/search?&amp;searchTerm=herbs</t>
  </si>
  <si>
    <t>https://www.waitrose.com/ecom/products/cooks-ingredients-garlic/086144-43989-43990</t>
  </si>
  <si>
    <t>https://www.waitrose.com/ecom/products/duchy-organic-garlic/085305-43382-43383</t>
  </si>
  <si>
    <t>https://www.waitrose.com/ecom/products/cooks-ingredients-gooseberries/088023-45002-45003</t>
  </si>
  <si>
    <t>https://www.riverford.co.uk/organic-fruit-veg-and-salad/fruit/gooseberries</t>
  </si>
  <si>
    <t>https://www.waitrose.com/ecom/products/waitrose-dessert-gooseberries/088033-45008-45009</t>
  </si>
  <si>
    <t>https://www.waitrose.com/ecom/products/essential-red-seedless-grapes/376787-53052-53053</t>
  </si>
  <si>
    <t>https://www.sainsburys.co.uk/gol-ui/product/sainsburys-grapes-red-or-black-so-organic-400g?istCompanyId=1e096408-041f-4238-994e-a7cf46bf9413&amp;istFeedId=689af7a8-5842-4d88-be59-1ee5688a81b5&amp;istItemId=wwxiwlpal&amp;istBid=t&amp;&amp;cmpid=cpc&amp;utm_source=Google&amp;utm_medium=cpc&amp;utm_campaign=15424330555&amp;utm_content=shopping&amp;utm_term=%257bsku%257d&amp;utm_custom1=129852755749&amp;utm_custom2=759-449-0952&amp;gclid=CjwKCAjw-8qVBhANEiwAfjXLrplLzaQGVQRJGQI0ONQfOsie5fszqr7vLFhe0McPKxz53Kp7Bg0_cBoCZBsQAvD_BwE&amp;gclsrc=aw.ds</t>
  </si>
  <si>
    <t>https://www.waitrose.com/ecom/products/essential-round-beans/085416-43452-43453</t>
  </si>
  <si>
    <t>https://www.waitrose.com/ecom/products/duchy-organic-green-beans/085542-43632-43633</t>
  </si>
  <si>
    <t>Using plum values</t>
  </si>
  <si>
    <t>https://www.waitrose.com/ecom/products/essential-plums/088112-45097-45098</t>
  </si>
  <si>
    <t>https://www.waitrose.com/ecom/products/duchy-organic-plums/088111-45095-45096</t>
  </si>
  <si>
    <t>https://www.waitrose.com/ecom/products/waitrose-hazelnuts/038051-18996-18997</t>
  </si>
  <si>
    <t>https://www.waitrose.com/ecom/products/duchy-organic-hazelnuts/047993-23775-23776</t>
  </si>
  <si>
    <t>https://www.riverford.co.uk/organic-fruit-veg-and-salad/vegetables/jerusalem-artichokes</t>
  </si>
  <si>
    <t>https://www.waitrose.com/ecom/products/waitrose-jerusalem-artichokes/085488-43560-43561</t>
  </si>
  <si>
    <t>https://www.waitrose.com/ecom/products/essential-kale/807994-373599-373600</t>
  </si>
  <si>
    <t>https://www.waitrose.com/ecom/products/duchy-organic-kale/052554-26201-26202</t>
  </si>
  <si>
    <t>https://www.waitrose.com/ecom/products/essential-kiwi-fruit/088201-45168-45169</t>
  </si>
  <si>
    <t>https://www.waitrose.com/ecom/products/duchy-organic-kiwi-fruit/010098-5022-5023</t>
  </si>
  <si>
    <t>https://www.ocado.com/products/natoora-italian-kohlrabi-67566011</t>
  </si>
  <si>
    <t>https://www.riverford.co.uk/organic-fruit-veg-and-salad/vegetables/kohlrabi</t>
  </si>
  <si>
    <t>https://www.waitrose.com/ecom/products/essential-leeks/085201-43266-43267</t>
  </si>
  <si>
    <t>https://www.waitrose.com/ecom/products/duchy-organic-leeks/740318-443842-443843</t>
  </si>
  <si>
    <t>https://www.waitrose.com/ecom/products/essential-lemon/088411-45361-45362</t>
  </si>
  <si>
    <t>https://www.waitrose.com/ecom/products/duchy-organic-lemons/088911-428558-45709</t>
  </si>
  <si>
    <t>https://www.waitrose.com/ecom/products/duchy-organic-babyleaf-rocket-salad/483605-349790-349791</t>
  </si>
  <si>
    <t>https://www.waitrose.com/ecom/products/essential-mixed-salad/053142-26529-26530</t>
  </si>
  <si>
    <t>https://www.ocado.com/products/wholegood-organic-unwaxed-limes-281539011</t>
  </si>
  <si>
    <t>https://www.waitrose.com/ecom/products/essential-limes/088458-45397-45398</t>
  </si>
  <si>
    <t>Used Blackberry values 2022</t>
  </si>
  <si>
    <t>Waitrose 2022 (blackberry values)</t>
  </si>
  <si>
    <t>https://www.waitrose.com/ecom/products/essential-cup-mushrooms/085704-43729-43729</t>
  </si>
  <si>
    <t>https://www.waitrose.com/ecom/products/duchy-organic-white-cup-mushrooms/085714-43734-43735</t>
  </si>
  <si>
    <t>https://www.waitrose.com/ecom/products/duchy-organic-nectarines/088526-45449-45450</t>
  </si>
  <si>
    <t>https://www.waitrose.com/ecom/products/essential-yellow-flesh-nectarine/088171-45145-45146</t>
  </si>
  <si>
    <t>https://www.waitrose.com/ecom/products/essential-onions/085115-43203-43204</t>
  </si>
  <si>
    <t>https://www.waitrose.com/ecom/products/duchy-organic-onions/085511-43590-43591</t>
  </si>
  <si>
    <t>https://www.riverford.co.uk/organic-fruit-veg-and-salad/vegetables/shallots</t>
  </si>
  <si>
    <t>https://www.waitrose.com/ecom/products/shallots/856360-694024-694025</t>
  </si>
  <si>
    <t>https://www.waitrose.com/ecom/products/essential-salad-onions-bunched/086453-44148-44149</t>
  </si>
  <si>
    <t>https://www.waitrose.com/ecom/products/duchy-organic-salad-onions/086479-44168-44169</t>
  </si>
  <si>
    <t>https://www.waitrose.com/ecom/products/essential-oranges/088403-45348-45349</t>
  </si>
  <si>
    <t>https://www.waitrose.com/ecom/products/duchy-organic-oranges/088404-428557-45350</t>
  </si>
  <si>
    <t>https://www.riverford.co.uk/organic-fruit-veg-and-salad/vegetables/summer-greens</t>
  </si>
  <si>
    <t>https://www.waitrose.com/ecom/products/essential-spring-greens/814257-422017-422018</t>
  </si>
  <si>
    <t>https://www.waitrose.com/ecom/products/green-pak-choi/086170-44013-44014</t>
  </si>
  <si>
    <t>https://www.riverford.co.uk/organic-fruit-veg-and-salad/vegetables/pak-choi</t>
  </si>
  <si>
    <t>https://www.waitrose.com/ecom/products/essential-parsnips/085147-43236-43237</t>
  </si>
  <si>
    <t>https://www.riverford.co.uk/organic-fruit-veg-and-salad/vegetables/parsnips</t>
  </si>
  <si>
    <t>https://www.waitrose.com/ecom/products/passion-fruit/088246-45216-45217</t>
  </si>
  <si>
    <t>https://www.riverford.co.uk/organic-fruit-veg-and-salad/fruit/passion-fruit</t>
  </si>
  <si>
    <t>https://www.sainsburys.co.uk/gol-ui/product/organic-fruit/sainsburys-peach-punnet--so-organic-x4</t>
  </si>
  <si>
    <t>https://www.waitrose.com/ecom/products/essential-waitrose-peaches/088184-45154-45155</t>
  </si>
  <si>
    <t>https://www.waitrose.com/ecom/products/duchy-organic-pears/058554-29463-29464</t>
  </si>
  <si>
    <t>https://www.waitrose.com/ecom/products/essential-pears/613640-255413-255414</t>
  </si>
  <si>
    <t>https://www.riverford.co.uk/organic-fruit-veg-and-salad/vegetables/garden-peas</t>
  </si>
  <si>
    <t>https://www.waitrose.com/ecom/products/essential-peas/040760-20134-20135</t>
  </si>
  <si>
    <t>https://www.waitrose.com/ecom/products/essential-red-peppers/086412-44120-44121</t>
  </si>
  <si>
    <t>https://www.waitrose.com/ecom/products/duchy-organic-peppers/085558-43652-43653</t>
  </si>
  <si>
    <t>https://www.waitrose.com/ecom/products/essential-potatoes/634836-683054-683055</t>
  </si>
  <si>
    <t>https://www.waitrose.com/ecom/products/duchy-organic-potatoes/085504-428552-43583</t>
  </si>
  <si>
    <t>https://www.waitrose.com/ecom/products/essential-charlotte-potatoes/521711-682894-682895</t>
  </si>
  <si>
    <t>https://www.waitrose.com/ecom/products/duchy-organic-jersey-royal-new-potatoes/085503-43581-43582</t>
  </si>
  <si>
    <t>https://www.riverford.co.uk/organic-fruit-veg-and-salad/fruit/quince-x-3</t>
  </si>
  <si>
    <t>Could not find non organic price</t>
  </si>
  <si>
    <t>https://www.waitrose.com/ecom/products/waitrose-quinoa/059324-29873-29874</t>
  </si>
  <si>
    <t>https://www.waitrose.com/ecom/products/duchy-organic-british-quinoa/421665-524159-524160</t>
  </si>
  <si>
    <t>https://www.waitrose.com/ecom/products/essential-radish/086458-44154-44155</t>
  </si>
  <si>
    <t>https://www.riverford.co.uk/organic-fruit-veg-and-salad/salad/bunched-radish?s=product-grid-21</t>
  </si>
  <si>
    <t>https://www.sainsburys.co.uk/gol-ui/product/berries-cherries-currants/sainsburys-redcurrants-150g</t>
  </si>
  <si>
    <t>Sainsburys 2022</t>
  </si>
  <si>
    <t>https://www.riverford.co.uk/organic-fruit-veg-and-salad/fruit/redcurrants</t>
  </si>
  <si>
    <t>https://www.riverford.co.uk/organic-fruit-veg-and-salad/fruit/rhubarb</t>
  </si>
  <si>
    <t>https://www.waitrose.com/ecom/products/cooks-ingredients-rhubarb/062328-31649-31650</t>
  </si>
  <si>
    <t>Keep old values; could not find anything</t>
  </si>
  <si>
    <t>https://www.riverford.co.uk/organic-fruit-veg-and-salad/vegetables/runner-beans</t>
  </si>
  <si>
    <t>https://www.waitrose.com/ecom/products/essential-runner-beans/085428-43472-43473</t>
  </si>
  <si>
    <t>Use organic values; could not find supermarket standard</t>
  </si>
  <si>
    <t>https://www.riverford.co.uk/organic-fruit-veg-and-salad/vegetables/squash-patty-pan</t>
  </si>
  <si>
    <t>https://www.waitrose.com/ecom/products/assorted-squash/472518-66640-66641</t>
  </si>
  <si>
    <t>https://www.riverford.co.uk/seasonal-organic-boxes/organic-veg-boxes/squash-box</t>
  </si>
  <si>
    <t>https://www.waitrose.com/ecom/products/essential-british-strawberries/583260-781153-781154</t>
  </si>
  <si>
    <t>https://www.waitrose.com/ecom/products/duchy-organic-british-strawberries/529013-780309-780310</t>
  </si>
  <si>
    <t>https://www.waitrose.com/ecom/products/waitrose-swede/711694-759814-759815</t>
  </si>
  <si>
    <t>https://www.riverford.co.uk/organic-fruit-veg-and-salad/vegetables/swede</t>
  </si>
  <si>
    <t>https://www.waitrose.com/ecom/products/essential-sweetcorn/085481-43548-43549</t>
  </si>
  <si>
    <t>https://www.waitrose.com/ecom/products/waitrose-baby-corn/085466-43528-43529</t>
  </si>
  <si>
    <t>https://www.riverford.co.uk/organic-fruit-veg-and-salad/vegetables/sweetcorn-on-the-cob</t>
  </si>
  <si>
    <t>https://www.riverford.co.uk/organic-fruit-veg-and-salad/vegetables/baby-sweetcorn</t>
  </si>
  <si>
    <t>https://www.waitrose.com/ecom/products/duchy-organic-cherry-vine-tomatoes/097155-49612-49613</t>
  </si>
  <si>
    <t>https://www.waitrose.com/ecom/products/duchy-organic-vine-tomatoes/086508-44188-44189</t>
  </si>
  <si>
    <t>https://www.waitrose.com/ecom/products/essential-tomatoes/086503-44184-44185</t>
  </si>
  <si>
    <t>https://www.sainsburys.co.uk/gol-ui/product/new-in-season/sainsburys-white-turnips-loose</t>
  </si>
  <si>
    <t>https://www.riverford.co.uk/organic-fruit-veg-and-salad/vegetables/turnips</t>
  </si>
  <si>
    <t>https://www.ocado.com/products/m-s-organic-walnuts-528854011</t>
  </si>
  <si>
    <t>https://www.waitrose.com/ecom/products/waitrose-walnuts/088876-45677-45678</t>
  </si>
  <si>
    <t>https://www.waitrose.com/ecom/products/duchy-organic-gala-apples/088358-45326-45327</t>
  </si>
  <si>
    <t>https://www.riverford.co.uk/organic-fruit-veg-and-salad/fruit/cooking-apples</t>
  </si>
  <si>
    <t>https://www.riverford.co.uk/organic-fruit-veg-and-salad/fruit/apricots</t>
  </si>
  <si>
    <t>https://www.waitrose.com/ecom/products/globe-artichoke/085487-43558-43559</t>
  </si>
  <si>
    <t>https://www.riverford.co.uk/organic-fruit-veg-and-salad/vegetables/globe-artichoke</t>
  </si>
  <si>
    <t>https://www.riverford.co.uk/organic-fruit-veg-and-salad/vegetables/celeriac</t>
  </si>
  <si>
    <t>https://www.riverford.co.uk/organic-fruit-veg-and-salad/herbs-and-spices</t>
  </si>
  <si>
    <t>notes</t>
  </si>
  <si>
    <t>source of price</t>
  </si>
  <si>
    <t>https://www.waitrose.com/ecom/products/cherry-vine-tomatoes/009596-4741-4742</t>
  </si>
  <si>
    <t>Note: did not use essentials because it is a MASSIVE difference between essentials cherry and dutchy vine cherry)</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</si>
</sst>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numFmt numFmtId="173" formatCode="[$£-809]#,##0.00"/>
    <numFmt numFmtId="174" formatCode="&quot;Yes&quot;;&quot;Yes&quot;;&quot;No&quot;"/>
    <numFmt numFmtId="175" formatCode="&quot;True&quot;;&quot;True&quot;;&quot;False&quot;"/>
    <numFmt numFmtId="176" formatCode="&quot;On&quot;;&quot;On&quot;;&quot;Off&quot;"/>
    <numFmt numFmtId="177" formatCode="[$€-2]\ #,##0.00_);[Red]\([$€-2]\ #,##0.00\)"/>
  </numFmts>
  <fonts count="61">
    <font>
      <sz val="11"/>
      <color rgb="FF000000"/>
      <name val="Calibri"/>
      <family val="2"/>
    </font>
    <font>
      <sz val="11"/>
      <color indexed="8"/>
      <name val="Calibri"/>
      <family val="2"/>
    </font>
    <font>
      <sz val="12"/>
      <color indexed="8"/>
      <name val="Calibri"/>
      <family val="2"/>
    </font>
    <font>
      <sz val="11"/>
      <name val="Calibri"/>
      <family val="2"/>
    </font>
    <font>
      <b/>
      <sz val="12"/>
      <color indexed="8"/>
      <name val="Calibri"/>
      <family val="2"/>
    </font>
    <font>
      <sz val="12"/>
      <name val="Calibri"/>
      <family val="2"/>
    </font>
    <font>
      <sz val="10"/>
      <name val="Helvetica Neue"/>
      <family val="0"/>
    </font>
    <font>
      <b/>
      <sz val="11"/>
      <color indexed="8"/>
      <name val="Calibri"/>
      <family val="2"/>
    </font>
    <font>
      <b/>
      <i/>
      <sz val="12"/>
      <color indexed="8"/>
      <name val="Calibri"/>
      <family val="2"/>
    </font>
    <font>
      <sz val="11"/>
      <color indexed="63"/>
      <name val="Calibri"/>
      <family val="2"/>
    </font>
    <font>
      <b/>
      <sz val="11"/>
      <color indexed="63"/>
      <name val="Calibri"/>
      <family val="2"/>
    </font>
    <font>
      <sz val="14"/>
      <name val="Calibri"/>
      <family val="2"/>
    </font>
    <font>
      <b/>
      <sz val="14"/>
      <name val="Calibri"/>
      <family val="2"/>
    </font>
    <font>
      <sz val="14"/>
      <color indexed="8"/>
      <name val="Calibri"/>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sz val="18"/>
      <color indexed="54"/>
      <name val="Calibri Light"/>
      <family val="2"/>
    </font>
    <font>
      <sz val="11"/>
      <color indexed="10"/>
      <name val="Calibri"/>
      <family val="2"/>
    </font>
    <font>
      <i/>
      <sz val="14"/>
      <color indexed="8"/>
      <name val="Calibri"/>
      <family val="2"/>
    </font>
    <font>
      <sz val="12"/>
      <color indexed="9"/>
      <name val="Calibri"/>
      <family val="2"/>
    </font>
    <font>
      <sz val="16"/>
      <color indexed="8"/>
      <name val="Calibri"/>
      <family val="2"/>
    </font>
    <font>
      <sz val="8"/>
      <name val="Segoe UI"/>
      <family val="2"/>
    </font>
    <font>
      <b/>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000000"/>
      <name val="Calibri"/>
      <family val="2"/>
    </font>
    <font>
      <sz val="11"/>
      <color rgb="FFFFFFFF"/>
      <name val="Calibri"/>
      <family val="2"/>
    </font>
    <font>
      <i/>
      <sz val="14"/>
      <color rgb="FF000000"/>
      <name val="Calibri"/>
      <family val="2"/>
    </font>
    <font>
      <sz val="14"/>
      <color rgb="FF000000"/>
      <name val="Calibri"/>
      <family val="2"/>
    </font>
    <font>
      <sz val="12"/>
      <color theme="0"/>
      <name val="Calibri"/>
      <family val="2"/>
    </font>
    <font>
      <sz val="11"/>
      <color rgb="FF404040"/>
      <name val="Calibri"/>
      <family val="2"/>
    </font>
    <font>
      <sz val="16"/>
      <color rgb="FF000000"/>
      <name val="Calibri"/>
      <family val="2"/>
    </font>
    <font>
      <b/>
      <sz val="12"/>
      <color rgb="FF00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CCFFCC"/>
        <bgColor indexed="64"/>
      </patternFill>
    </fill>
    <fill>
      <patternFill patternType="solid">
        <fgColor theme="0"/>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333300"/>
      </left>
      <right style="thin">
        <color rgb="FF333300"/>
      </right>
      <top style="thin">
        <color rgb="FF333300"/>
      </top>
      <bottom style="thin">
        <color rgb="FF333300"/>
      </bottom>
    </border>
    <border>
      <left/>
      <right/>
      <top/>
      <bottom style="thin">
        <color rgb="FF333300"/>
      </bottom>
    </border>
    <border>
      <left style="thin">
        <color rgb="FF333300"/>
      </left>
      <right style="thin">
        <color rgb="FF333300"/>
      </right>
      <top/>
      <bottom/>
    </border>
    <border>
      <left style="thin">
        <color rgb="FF333300"/>
      </left>
      <right/>
      <top style="thin">
        <color rgb="FF333300"/>
      </top>
      <bottom style="thin">
        <color rgb="FF333300"/>
      </bottom>
    </border>
    <border>
      <left style="thin">
        <color rgb="FF333300"/>
      </left>
      <right/>
      <top/>
      <bottom/>
    </border>
    <border>
      <left/>
      <right/>
      <top style="medium"/>
      <bottom/>
    </border>
    <border>
      <left/>
      <right style="medium"/>
      <top style="medium"/>
      <bottom/>
    </border>
    <border>
      <left/>
      <right style="medium"/>
      <top/>
      <bottom/>
    </border>
    <border>
      <left style="medium"/>
      <right/>
      <top/>
      <bottom/>
    </border>
    <border>
      <left/>
      <right/>
      <top/>
      <bottom style="medium"/>
    </border>
    <border>
      <left style="medium"/>
      <right/>
      <top style="medium"/>
      <bottom/>
    </border>
    <border>
      <left>
        <color indexed="63"/>
      </left>
      <right style="thin">
        <color rgb="FF333300"/>
      </right>
      <top style="thin">
        <color rgb="FF333300"/>
      </top>
      <bottom style="thin">
        <color rgb="FF333300"/>
      </bottom>
    </border>
    <border>
      <left style="thin">
        <color rgb="FF333300"/>
      </left>
      <right/>
      <top style="thin">
        <color rgb="FF333300"/>
      </top>
      <bottom>
        <color indexed="63"/>
      </bottom>
    </border>
    <border>
      <left style="thin"/>
      <right style="thin"/>
      <top style="thin"/>
      <bottom style="thin"/>
    </border>
    <border>
      <left/>
      <right style="medium"/>
      <top/>
      <bottom style="medium"/>
    </border>
    <border>
      <left style="medium"/>
      <right/>
      <top/>
      <bottom style="medium"/>
    </border>
    <border>
      <left style="medium"/>
      <right/>
      <top style="medium"/>
      <bottom style="medium"/>
    </border>
    <border>
      <left/>
      <right/>
      <top style="medium"/>
      <bottom style="medium"/>
    </border>
    <border>
      <left/>
      <right style="medium"/>
      <top style="medium"/>
      <bottom style="medium"/>
    </border>
    <border>
      <left style="medium">
        <color rgb="FF333300"/>
      </left>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5">
    <xf numFmtId="0" fontId="0" fillId="0" borderId="0" xfId="0" applyFont="1" applyAlignment="1">
      <alignment/>
    </xf>
    <xf numFmtId="0" fontId="53" fillId="0" borderId="0" xfId="0" applyFont="1" applyAlignment="1">
      <alignment/>
    </xf>
    <xf numFmtId="0" fontId="0" fillId="0" borderId="0" xfId="0" applyFont="1" applyAlignment="1">
      <alignment/>
    </xf>
    <xf numFmtId="0" fontId="0" fillId="33" borderId="0" xfId="0" applyFont="1" applyFill="1" applyBorder="1" applyAlignment="1">
      <alignment/>
    </xf>
    <xf numFmtId="0" fontId="53" fillId="33" borderId="0" xfId="0" applyFont="1" applyFill="1" applyBorder="1" applyAlignment="1">
      <alignment horizontal="left" vertical="top" wrapText="1"/>
    </xf>
    <xf numFmtId="0" fontId="53" fillId="33" borderId="0" xfId="0" applyFont="1" applyFill="1" applyBorder="1" applyAlignment="1">
      <alignment/>
    </xf>
    <xf numFmtId="0" fontId="53" fillId="0" borderId="10" xfId="0" applyFont="1" applyBorder="1" applyAlignment="1">
      <alignment/>
    </xf>
    <xf numFmtId="0" fontId="0" fillId="34" borderId="10" xfId="0" applyFont="1" applyFill="1" applyBorder="1" applyAlignment="1">
      <alignment/>
    </xf>
    <xf numFmtId="14" fontId="0" fillId="34" borderId="10" xfId="0" applyNumberFormat="1" applyFont="1" applyFill="1" applyBorder="1" applyAlignment="1">
      <alignment/>
    </xf>
    <xf numFmtId="172" fontId="0" fillId="0" borderId="10" xfId="0" applyNumberFormat="1" applyFont="1" applyBorder="1" applyAlignment="1">
      <alignment/>
    </xf>
    <xf numFmtId="9" fontId="0" fillId="0" borderId="10" xfId="0" applyNumberFormat="1" applyFont="1" applyBorder="1" applyAlignment="1">
      <alignment/>
    </xf>
    <xf numFmtId="0" fontId="53" fillId="0" borderId="10" xfId="0" applyFont="1" applyBorder="1" applyAlignment="1">
      <alignment wrapText="1"/>
    </xf>
    <xf numFmtId="0" fontId="0" fillId="0" borderId="10" xfId="0" applyFont="1" applyBorder="1" applyAlignment="1">
      <alignment wrapText="1"/>
    </xf>
    <xf numFmtId="0" fontId="0" fillId="0" borderId="10" xfId="0" applyFont="1" applyBorder="1" applyAlignment="1">
      <alignment vertical="top" wrapText="1"/>
    </xf>
    <xf numFmtId="0" fontId="0" fillId="0" borderId="11" xfId="0" applyFont="1" applyBorder="1" applyAlignment="1">
      <alignment wrapText="1"/>
    </xf>
    <xf numFmtId="0" fontId="0" fillId="0" borderId="0" xfId="0" applyFont="1" applyAlignment="1">
      <alignment vertical="center" wrapText="1"/>
    </xf>
    <xf numFmtId="0" fontId="53" fillId="0" borderId="12" xfId="0" applyFont="1" applyBorder="1" applyAlignment="1">
      <alignment vertical="center" wrapText="1"/>
    </xf>
    <xf numFmtId="0" fontId="0" fillId="0" borderId="0" xfId="0" applyFont="1" applyAlignment="1">
      <alignment vertical="center"/>
    </xf>
    <xf numFmtId="0" fontId="53" fillId="0" borderId="12" xfId="0" applyFont="1" applyBorder="1" applyAlignment="1">
      <alignment vertical="center"/>
    </xf>
    <xf numFmtId="0" fontId="0" fillId="33" borderId="0" xfId="0" applyFont="1" applyFill="1" applyBorder="1" applyAlignment="1">
      <alignment/>
    </xf>
    <xf numFmtId="9" fontId="54" fillId="33" borderId="0" xfId="0" applyNumberFormat="1" applyFont="1" applyFill="1" applyBorder="1" applyAlignment="1">
      <alignment/>
    </xf>
    <xf numFmtId="0" fontId="0" fillId="0" borderId="13" xfId="0" applyFont="1" applyBorder="1" applyAlignment="1">
      <alignment wrapText="1"/>
    </xf>
    <xf numFmtId="0" fontId="0" fillId="0" borderId="10" xfId="0" applyFont="1" applyBorder="1" applyAlignment="1">
      <alignment wrapText="1"/>
    </xf>
    <xf numFmtId="0" fontId="0" fillId="35" borderId="0" xfId="0" applyFont="1" applyFill="1" applyAlignment="1">
      <alignment/>
    </xf>
    <xf numFmtId="0" fontId="0" fillId="35" borderId="0" xfId="0" applyFont="1" applyFill="1" applyBorder="1" applyAlignment="1">
      <alignment horizontal="left" vertical="center" wrapText="1"/>
    </xf>
    <xf numFmtId="0" fontId="0" fillId="35" borderId="0" xfId="0" applyFont="1" applyFill="1" applyBorder="1" applyAlignment="1">
      <alignment vertical="center" wrapText="1"/>
    </xf>
    <xf numFmtId="0" fontId="11" fillId="35" borderId="0" xfId="0" applyFont="1" applyFill="1" applyBorder="1" applyAlignment="1">
      <alignment/>
    </xf>
    <xf numFmtId="0" fontId="55" fillId="33" borderId="0" xfId="0" applyFont="1" applyFill="1" applyBorder="1" applyAlignment="1">
      <alignment horizontal="center" vertical="top"/>
    </xf>
    <xf numFmtId="0" fontId="56" fillId="0" borderId="0" xfId="0" applyFont="1" applyAlignment="1">
      <alignment/>
    </xf>
    <xf numFmtId="0" fontId="56" fillId="33" borderId="0" xfId="0" applyFont="1" applyFill="1" applyBorder="1" applyAlignment="1">
      <alignment/>
    </xf>
    <xf numFmtId="0" fontId="12" fillId="35" borderId="0" xfId="0" applyFont="1" applyFill="1" applyBorder="1" applyAlignment="1">
      <alignment/>
    </xf>
    <xf numFmtId="0" fontId="56" fillId="35" borderId="0" xfId="0" applyFont="1" applyFill="1" applyAlignment="1">
      <alignment/>
    </xf>
    <xf numFmtId="0" fontId="0" fillId="36" borderId="0" xfId="0" applyFont="1" applyFill="1" applyBorder="1" applyAlignment="1">
      <alignment/>
    </xf>
    <xf numFmtId="0" fontId="0" fillId="33" borderId="0" xfId="0" applyFont="1" applyFill="1" applyBorder="1" applyAlignment="1">
      <alignment vertical="center"/>
    </xf>
    <xf numFmtId="9" fontId="36" fillId="33" borderId="14" xfId="0" applyNumberFormat="1" applyFont="1" applyFill="1" applyBorder="1" applyAlignment="1">
      <alignment vertical="center"/>
    </xf>
    <xf numFmtId="0" fontId="57" fillId="33" borderId="0" xfId="0" applyFont="1" applyFill="1" applyBorder="1" applyAlignment="1">
      <alignment horizontal="left" vertical="top"/>
    </xf>
    <xf numFmtId="0" fontId="0" fillId="35" borderId="15" xfId="0" applyFont="1" applyFill="1" applyBorder="1" applyAlignment="1">
      <alignment/>
    </xf>
    <xf numFmtId="0" fontId="12" fillId="35" borderId="15" xfId="0" applyFont="1" applyFill="1" applyBorder="1" applyAlignment="1">
      <alignment/>
    </xf>
    <xf numFmtId="0" fontId="0" fillId="0" borderId="16" xfId="0" applyFont="1" applyBorder="1" applyAlignment="1">
      <alignment/>
    </xf>
    <xf numFmtId="0" fontId="0" fillId="35" borderId="0" xfId="0" applyFont="1" applyFill="1" applyBorder="1" applyAlignment="1">
      <alignment/>
    </xf>
    <xf numFmtId="0" fontId="11" fillId="35" borderId="17" xfId="0" applyFont="1" applyFill="1" applyBorder="1" applyAlignment="1">
      <alignment/>
    </xf>
    <xf numFmtId="0" fontId="0" fillId="35" borderId="18" xfId="0" applyFont="1" applyFill="1" applyBorder="1" applyAlignment="1">
      <alignment/>
    </xf>
    <xf numFmtId="0" fontId="0" fillId="35" borderId="17" xfId="0" applyFont="1" applyFill="1" applyBorder="1" applyAlignment="1">
      <alignment/>
    </xf>
    <xf numFmtId="0" fontId="0" fillId="35" borderId="17" xfId="0" applyFont="1" applyFill="1" applyBorder="1" applyAlignment="1">
      <alignment horizontal="left" vertical="center" wrapText="1"/>
    </xf>
    <xf numFmtId="0" fontId="0" fillId="35" borderId="17" xfId="0" applyFont="1" applyFill="1" applyBorder="1" applyAlignment="1">
      <alignment vertical="center" wrapText="1"/>
    </xf>
    <xf numFmtId="0" fontId="0" fillId="35" borderId="19" xfId="0" applyFont="1" applyFill="1" applyBorder="1" applyAlignment="1">
      <alignment/>
    </xf>
    <xf numFmtId="0" fontId="0" fillId="35" borderId="20" xfId="0" applyFont="1" applyFill="1" applyBorder="1" applyAlignment="1">
      <alignment/>
    </xf>
    <xf numFmtId="0" fontId="0" fillId="35" borderId="0" xfId="0" applyFont="1" applyFill="1" applyBorder="1" applyAlignment="1">
      <alignment vertical="top" wrapText="1"/>
    </xf>
    <xf numFmtId="0" fontId="0" fillId="35" borderId="18" xfId="0" applyFont="1" applyFill="1" applyBorder="1" applyAlignment="1">
      <alignment vertical="top" wrapText="1"/>
    </xf>
    <xf numFmtId="0" fontId="56" fillId="36" borderId="0" xfId="0" applyFont="1" applyFill="1" applyBorder="1" applyAlignment="1">
      <alignment/>
    </xf>
    <xf numFmtId="0" fontId="0" fillId="36" borderId="0" xfId="0" applyFont="1" applyFill="1" applyBorder="1" applyAlignment="1">
      <alignment/>
    </xf>
    <xf numFmtId="0" fontId="0" fillId="34" borderId="10" xfId="0" applyFont="1" applyFill="1" applyBorder="1" applyAlignment="1">
      <alignment vertical="center"/>
    </xf>
    <xf numFmtId="173" fontId="0" fillId="0" borderId="10" xfId="0" applyNumberFormat="1" applyFont="1" applyBorder="1" applyAlignment="1">
      <alignment vertical="center"/>
    </xf>
    <xf numFmtId="2" fontId="0" fillId="37" borderId="0" xfId="0" applyNumberFormat="1" applyFont="1" applyFill="1" applyBorder="1" applyAlignment="1">
      <alignment vertical="center"/>
    </xf>
    <xf numFmtId="0" fontId="0" fillId="37" borderId="0" xfId="0" applyFont="1" applyFill="1" applyBorder="1" applyAlignment="1">
      <alignment vertical="center"/>
    </xf>
    <xf numFmtId="0" fontId="0" fillId="37" borderId="0" xfId="0" applyFont="1" applyFill="1" applyBorder="1" applyAlignment="1">
      <alignment vertical="center"/>
    </xf>
    <xf numFmtId="0" fontId="3" fillId="0" borderId="0" xfId="0" applyFont="1" applyAlignment="1">
      <alignment vertical="center"/>
    </xf>
    <xf numFmtId="173" fontId="0" fillId="0" borderId="0" xfId="0" applyNumberFormat="1" applyFont="1" applyAlignment="1">
      <alignment vertical="center"/>
    </xf>
    <xf numFmtId="0" fontId="0" fillId="33" borderId="0" xfId="0" applyFont="1" applyFill="1" applyBorder="1" applyAlignment="1">
      <alignment vertical="center"/>
    </xf>
    <xf numFmtId="0" fontId="0" fillId="36" borderId="0" xfId="0" applyFont="1" applyFill="1" applyBorder="1" applyAlignment="1">
      <alignment vertical="center"/>
    </xf>
    <xf numFmtId="0" fontId="5" fillId="0" borderId="12" xfId="0" applyFont="1" applyBorder="1" applyAlignment="1">
      <alignment vertical="center"/>
    </xf>
    <xf numFmtId="0" fontId="6" fillId="0" borderId="0" xfId="0" applyFont="1" applyAlignment="1">
      <alignment vertical="center"/>
    </xf>
    <xf numFmtId="0" fontId="55" fillId="36" borderId="0" xfId="0" applyFont="1" applyFill="1" applyBorder="1" applyAlignment="1">
      <alignment horizontal="center" vertical="top"/>
    </xf>
    <xf numFmtId="0" fontId="0" fillId="35" borderId="0" xfId="0" applyFont="1" applyFill="1" applyBorder="1" applyAlignment="1">
      <alignment vertical="top"/>
    </xf>
    <xf numFmtId="0" fontId="0" fillId="0" borderId="0" xfId="0" applyFont="1" applyAlignment="1">
      <alignment/>
    </xf>
    <xf numFmtId="0" fontId="0" fillId="0" borderId="0" xfId="0" applyFont="1" applyFill="1" applyBorder="1" applyAlignment="1">
      <alignment wrapText="1"/>
    </xf>
    <xf numFmtId="0" fontId="3" fillId="0" borderId="0" xfId="0" applyFont="1" applyAlignment="1">
      <alignment vertical="center"/>
    </xf>
    <xf numFmtId="0" fontId="45" fillId="33" borderId="0" xfId="52" applyFill="1" applyBorder="1" applyAlignment="1">
      <alignment vertical="center"/>
    </xf>
    <xf numFmtId="173" fontId="0" fillId="0" borderId="10" xfId="0" applyNumberFormat="1" applyFont="1" applyFill="1" applyBorder="1" applyAlignment="1">
      <alignment vertical="center"/>
    </xf>
    <xf numFmtId="2" fontId="0" fillId="0" borderId="0" xfId="0" applyNumberFormat="1" applyFont="1" applyFill="1" applyBorder="1" applyAlignment="1">
      <alignment vertical="center"/>
    </xf>
    <xf numFmtId="0" fontId="0" fillId="0" borderId="0" xfId="0" applyFont="1" applyFill="1" applyBorder="1" applyAlignment="1">
      <alignment vertical="center"/>
    </xf>
    <xf numFmtId="0" fontId="6" fillId="0" borderId="0" xfId="0" applyFont="1" applyFill="1" applyAlignment="1">
      <alignment vertical="center"/>
    </xf>
    <xf numFmtId="0" fontId="0" fillId="0" borderId="0" xfId="0" applyFont="1" applyFill="1" applyAlignment="1">
      <alignment vertical="center"/>
    </xf>
    <xf numFmtId="173" fontId="0" fillId="0" borderId="0" xfId="0" applyNumberFormat="1" applyFont="1" applyFill="1" applyAlignment="1">
      <alignment vertical="center"/>
    </xf>
    <xf numFmtId="0" fontId="0" fillId="0" borderId="0" xfId="0" applyFont="1" applyAlignment="1">
      <alignment vertical="center"/>
    </xf>
    <xf numFmtId="0" fontId="53" fillId="0" borderId="14" xfId="0" applyFont="1" applyBorder="1" applyAlignment="1">
      <alignment vertical="center" wrapText="1"/>
    </xf>
    <xf numFmtId="0" fontId="53" fillId="0" borderId="14" xfId="0" applyFont="1" applyBorder="1" applyAlignment="1">
      <alignment vertical="center"/>
    </xf>
    <xf numFmtId="0" fontId="5" fillId="0" borderId="14" xfId="0" applyFont="1" applyBorder="1" applyAlignment="1">
      <alignment vertical="center"/>
    </xf>
    <xf numFmtId="0" fontId="5" fillId="0" borderId="14" xfId="0" applyFont="1" applyFill="1" applyBorder="1" applyAlignment="1">
      <alignment vertical="center"/>
    </xf>
    <xf numFmtId="0" fontId="0" fillId="34" borderId="21" xfId="0" applyFont="1" applyFill="1" applyBorder="1" applyAlignment="1">
      <alignment vertical="center"/>
    </xf>
    <xf numFmtId="0" fontId="0" fillId="0" borderId="22" xfId="0" applyFont="1" applyBorder="1" applyAlignment="1">
      <alignment wrapText="1"/>
    </xf>
    <xf numFmtId="0" fontId="0" fillId="38" borderId="23" xfId="0" applyFont="1" applyFill="1" applyBorder="1" applyAlignment="1">
      <alignment vertical="center" wrapText="1"/>
    </xf>
    <xf numFmtId="0" fontId="0" fillId="38" borderId="23" xfId="0" applyFont="1" applyFill="1" applyBorder="1" applyAlignment="1">
      <alignment horizontal="right" vertical="center" wrapText="1"/>
    </xf>
    <xf numFmtId="0" fontId="0" fillId="36" borderId="0" xfId="0" applyFont="1" applyFill="1" applyBorder="1" applyAlignment="1">
      <alignment horizontal="left" vertical="center" wrapText="1"/>
    </xf>
    <xf numFmtId="0" fontId="0" fillId="36" borderId="17" xfId="0" applyFont="1" applyFill="1" applyBorder="1" applyAlignment="1">
      <alignment horizontal="left" vertical="center" wrapText="1"/>
    </xf>
    <xf numFmtId="0" fontId="0" fillId="36" borderId="19" xfId="0" applyFont="1" applyFill="1" applyBorder="1" applyAlignment="1">
      <alignment horizontal="left" vertical="center" wrapText="1"/>
    </xf>
    <xf numFmtId="0" fontId="0" fillId="36" borderId="24" xfId="0" applyFont="1" applyFill="1" applyBorder="1" applyAlignment="1">
      <alignment horizontal="left" vertical="center" wrapText="1"/>
    </xf>
    <xf numFmtId="0" fontId="0" fillId="35" borderId="0" xfId="0" applyFont="1" applyFill="1" applyBorder="1" applyAlignment="1">
      <alignment horizontal="left" vertical="center" wrapText="1"/>
    </xf>
    <xf numFmtId="0" fontId="0" fillId="35" borderId="17" xfId="0" applyFont="1" applyFill="1" applyBorder="1" applyAlignment="1">
      <alignment horizontal="left" vertical="center" wrapText="1"/>
    </xf>
    <xf numFmtId="0" fontId="0" fillId="35" borderId="18" xfId="0" applyFont="1" applyFill="1" applyBorder="1" applyAlignment="1">
      <alignment horizontal="left" vertical="top" wrapText="1"/>
    </xf>
    <xf numFmtId="0" fontId="0" fillId="35" borderId="0" xfId="0" applyFont="1" applyFill="1" applyBorder="1" applyAlignment="1">
      <alignment horizontal="left" vertical="top" wrapText="1"/>
    </xf>
    <xf numFmtId="0" fontId="53" fillId="35" borderId="18" xfId="0" applyFont="1" applyFill="1" applyBorder="1" applyAlignment="1">
      <alignment horizontal="center" vertical="center" wrapText="1"/>
    </xf>
    <xf numFmtId="0" fontId="53" fillId="35" borderId="0" xfId="0" applyFont="1" applyFill="1" applyBorder="1" applyAlignment="1">
      <alignment horizontal="center" vertical="center" wrapText="1"/>
    </xf>
    <xf numFmtId="0" fontId="53" fillId="35" borderId="25" xfId="0" applyFont="1" applyFill="1" applyBorder="1" applyAlignment="1">
      <alignment horizontal="center" vertical="center" wrapText="1"/>
    </xf>
    <xf numFmtId="0" fontId="53" fillId="35" borderId="19" xfId="0" applyFont="1" applyFill="1" applyBorder="1" applyAlignment="1">
      <alignment horizontal="center" vertical="center" wrapText="1"/>
    </xf>
    <xf numFmtId="0" fontId="3" fillId="35" borderId="0" xfId="0" applyFont="1" applyFill="1" applyBorder="1" applyAlignment="1">
      <alignment horizontal="center"/>
    </xf>
    <xf numFmtId="0" fontId="58" fillId="35" borderId="0" xfId="0" applyFont="1" applyFill="1" applyBorder="1" applyAlignment="1">
      <alignment horizontal="left" wrapText="1"/>
    </xf>
    <xf numFmtId="0" fontId="58" fillId="35" borderId="17" xfId="0" applyFont="1" applyFill="1" applyBorder="1" applyAlignment="1">
      <alignment horizontal="left" wrapText="1"/>
    </xf>
    <xf numFmtId="0" fontId="59" fillId="33" borderId="0" xfId="0" applyFont="1" applyFill="1" applyBorder="1" applyAlignment="1">
      <alignment horizontal="center" vertical="center"/>
    </xf>
    <xf numFmtId="0" fontId="59" fillId="33" borderId="11" xfId="0" applyFont="1" applyFill="1" applyBorder="1" applyAlignment="1">
      <alignment horizontal="center" vertical="center"/>
    </xf>
    <xf numFmtId="0" fontId="0" fillId="33" borderId="0" xfId="0" applyFont="1" applyFill="1" applyBorder="1" applyAlignment="1">
      <alignment horizontal="left" wrapText="1"/>
    </xf>
    <xf numFmtId="0" fontId="0" fillId="35" borderId="0" xfId="0" applyFont="1" applyFill="1" applyAlignment="1">
      <alignment horizontal="left" vertical="center" wrapText="1"/>
    </xf>
    <xf numFmtId="0" fontId="58" fillId="0" borderId="0" xfId="0" applyFont="1" applyAlignment="1">
      <alignment horizontal="left" wrapText="1"/>
    </xf>
    <xf numFmtId="0" fontId="0" fillId="33" borderId="14" xfId="0" applyFont="1" applyFill="1" applyBorder="1" applyAlignment="1">
      <alignment horizontal="center"/>
    </xf>
    <xf numFmtId="0" fontId="0" fillId="33" borderId="0" xfId="0" applyFont="1" applyFill="1" applyBorder="1" applyAlignment="1">
      <alignment horizontal="center"/>
    </xf>
    <xf numFmtId="0" fontId="0" fillId="7" borderId="26" xfId="0" applyFont="1" applyFill="1" applyBorder="1" applyAlignment="1">
      <alignment horizontal="left" vertical="top"/>
    </xf>
    <xf numFmtId="0" fontId="0" fillId="7" borderId="27" xfId="0" applyFont="1" applyFill="1" applyBorder="1" applyAlignment="1">
      <alignment horizontal="left" vertical="top"/>
    </xf>
    <xf numFmtId="0" fontId="0" fillId="7" borderId="28" xfId="0" applyFont="1" applyFill="1" applyBorder="1" applyAlignment="1">
      <alignment horizontal="left" vertical="top"/>
    </xf>
    <xf numFmtId="0" fontId="55" fillId="36" borderId="29" xfId="0" applyFont="1" applyFill="1" applyBorder="1" applyAlignment="1">
      <alignment horizontal="left" vertical="top"/>
    </xf>
    <xf numFmtId="0" fontId="11" fillId="35" borderId="0" xfId="0" applyFont="1" applyFill="1" applyBorder="1" applyAlignment="1">
      <alignment horizontal="left"/>
    </xf>
    <xf numFmtId="0" fontId="53" fillId="33" borderId="0" xfId="0" applyFont="1" applyFill="1" applyBorder="1" applyAlignment="1">
      <alignment horizontal="left" vertical="top" wrapText="1"/>
    </xf>
    <xf numFmtId="0" fontId="3" fillId="0" borderId="0" xfId="0" applyFont="1" applyBorder="1" applyAlignment="1">
      <alignment/>
    </xf>
    <xf numFmtId="0" fontId="0" fillId="0" borderId="0" xfId="0" applyFont="1" applyAlignment="1">
      <alignment/>
    </xf>
    <xf numFmtId="0" fontId="60" fillId="0" borderId="11" xfId="0" applyFont="1" applyBorder="1" applyAlignment="1">
      <alignment horizontal="center"/>
    </xf>
    <xf numFmtId="0" fontId="3" fillId="0" borderId="11"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How much of the harvest is directly from bees?</a:t>
            </a:r>
          </a:p>
        </c:rich>
      </c:tx>
      <c:layout>
        <c:manualLayout>
          <c:xMode val="factor"/>
          <c:yMode val="factor"/>
          <c:x val="0.0125"/>
          <c:y val="-0.034"/>
        </c:manualLayout>
      </c:layout>
      <c:spPr>
        <a:noFill/>
        <a:ln w="3175">
          <a:noFill/>
        </a:ln>
      </c:spPr>
    </c:title>
    <c:plotArea>
      <c:layout>
        <c:manualLayout>
          <c:xMode val="edge"/>
          <c:yMode val="edge"/>
          <c:x val="0.158"/>
          <c:y val="0.17325"/>
          <c:w val="0.67675"/>
          <c:h val="0.7155"/>
        </c:manualLayout>
      </c:layout>
      <c:pieChart>
        <c:varyColors val="1"/>
        <c:ser>
          <c:idx val="0"/>
          <c:order val="0"/>
          <c:spPr>
            <a:solidFill>
              <a:srgbClr val="4472C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C000"/>
              </a:solidFill>
              <a:ln w="3175">
                <a:noFill/>
              </a:ln>
            </c:spPr>
          </c:dPt>
          <c:dPt>
            <c:idx val="1"/>
            <c:spPr>
              <a:solidFill>
                <a:srgbClr val="70AD47"/>
              </a:solidFill>
              <a:ln w="3175">
                <a:noFill/>
              </a:ln>
            </c:spPr>
          </c:dPt>
          <c:cat>
            <c:strRef>
              <c:f>'Standard values'!$A$21:$A$22</c:f>
              <c:strCache/>
            </c:strRef>
          </c:cat>
          <c:val>
            <c:numRef>
              <c:f>'Standard values'!$B$20:$C$20</c:f>
              <c:numCache/>
            </c:numRef>
          </c:val>
        </c:ser>
      </c:pieChart>
      <c:spPr>
        <a:solidFill>
          <a:srgbClr val="FFFFFF"/>
        </a:solidFill>
        <a:ln w="3175">
          <a:noFill/>
        </a:ln>
      </c:spPr>
    </c:plotArea>
    <c:legend>
      <c:legendPos val="r"/>
      <c:layout>
        <c:manualLayout>
          <c:xMode val="edge"/>
          <c:yMode val="edge"/>
          <c:x val="0.75925"/>
          <c:y val="0.6535"/>
          <c:w val="0.23825"/>
          <c:h val="0.31225"/>
        </c:manualLayout>
      </c:layout>
      <c:overlay val="0"/>
      <c:spPr>
        <a:noFill/>
        <a:ln w="3175">
          <a:noFill/>
        </a:ln>
      </c:spPr>
      <c:txPr>
        <a:bodyPr vert="horz" rot="0"/>
        <a:lstStyle/>
        <a:p>
          <a:pPr>
            <a:defRPr lang="en-US" cap="none" sz="1400"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How much of the harvest is directly from bees?</a:t>
            </a:r>
          </a:p>
        </c:rich>
      </c:tx>
      <c:layout>
        <c:manualLayout>
          <c:xMode val="factor"/>
          <c:yMode val="factor"/>
          <c:x val="0.01"/>
          <c:y val="-0.034"/>
        </c:manualLayout>
      </c:layout>
      <c:spPr>
        <a:noFill/>
        <a:ln w="3175">
          <a:noFill/>
        </a:ln>
      </c:spPr>
    </c:title>
    <c:plotArea>
      <c:layout>
        <c:manualLayout>
          <c:xMode val="edge"/>
          <c:yMode val="edge"/>
          <c:x val="0.15825"/>
          <c:y val="0.17325"/>
          <c:w val="0.6755"/>
          <c:h val="0.71475"/>
        </c:manualLayout>
      </c:layout>
      <c:pieChart>
        <c:varyColors val="1"/>
        <c:ser>
          <c:idx val="0"/>
          <c:order val="0"/>
          <c:spPr>
            <a:solidFill>
              <a:srgbClr val="4472C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C000"/>
              </a:solidFill>
              <a:ln w="3175">
                <a:noFill/>
              </a:ln>
            </c:spPr>
          </c:dPt>
          <c:dPt>
            <c:idx val="1"/>
            <c:spPr>
              <a:solidFill>
                <a:srgbClr val="70AD47"/>
              </a:solidFill>
              <a:ln w="3175">
                <a:noFill/>
              </a:ln>
            </c:spPr>
          </c:dPt>
          <c:cat>
            <c:strRef>
              <c:f>'Organic values'!$A$21:$A$22</c:f>
              <c:strCache/>
            </c:strRef>
          </c:cat>
          <c:val>
            <c:numRef>
              <c:f>'Organic values'!$B$20:$C$20</c:f>
              <c:numCache/>
            </c:numRef>
          </c:val>
        </c:ser>
      </c:pieChart>
      <c:spPr>
        <a:solidFill>
          <a:srgbClr val="FFFFFF"/>
        </a:solidFill>
        <a:ln w="3175">
          <a:noFill/>
        </a:ln>
      </c:spPr>
    </c:plotArea>
    <c:legend>
      <c:legendPos val="r"/>
      <c:layout>
        <c:manualLayout>
          <c:xMode val="edge"/>
          <c:yMode val="edge"/>
          <c:x val="0.76"/>
          <c:y val="0.64125"/>
          <c:w val="0.2375"/>
          <c:h val="0.32725"/>
        </c:manualLayout>
      </c:layout>
      <c:overlay val="0"/>
      <c:spPr>
        <a:noFill/>
        <a:ln w="3175">
          <a:noFill/>
        </a:ln>
      </c:spPr>
      <c:txPr>
        <a:bodyPr vert="horz" rot="0"/>
        <a:lstStyle/>
        <a:p>
          <a:pPr>
            <a:defRPr lang="en-US" cap="none" sz="1400"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3.png" /><Relationship Id="rId5" Type="http://schemas.openxmlformats.org/officeDocument/2006/relationships/image" Target="../media/image6.png" /><Relationship Id="rId6" Type="http://schemas.openxmlformats.org/officeDocument/2006/relationships/image" Target="../media/image7.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3.png" /><Relationship Id="rId5" Type="http://schemas.openxmlformats.org/officeDocument/2006/relationships/image" Target="../media/image6.png" /><Relationship Id="rId6"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514350</xdr:colOff>
      <xdr:row>2</xdr:row>
      <xdr:rowOff>47625</xdr:rowOff>
    </xdr:from>
    <xdr:to>
      <xdr:col>3</xdr:col>
      <xdr:colOff>885825</xdr:colOff>
      <xdr:row>4</xdr:row>
      <xdr:rowOff>171450</xdr:rowOff>
    </xdr:to>
    <xdr:pic>
      <xdr:nvPicPr>
        <xdr:cNvPr id="1" name="Picture 13"/>
        <xdr:cNvPicPr preferRelativeResize="1">
          <a:picLocks noChangeAspect="1"/>
        </xdr:cNvPicPr>
      </xdr:nvPicPr>
      <xdr:blipFill>
        <a:blip r:embed="rId1"/>
        <a:stretch>
          <a:fillRect/>
        </a:stretch>
      </xdr:blipFill>
      <xdr:spPr>
        <a:xfrm>
          <a:off x="3971925" y="523875"/>
          <a:ext cx="371475" cy="476250"/>
        </a:xfrm>
        <a:prstGeom prst="rect">
          <a:avLst/>
        </a:prstGeom>
        <a:noFill/>
        <a:ln w="9525" cmpd="sng">
          <a:noFill/>
        </a:ln>
      </xdr:spPr>
    </xdr:pic>
    <xdr:clientData/>
  </xdr:twoCellAnchor>
  <xdr:twoCellAnchor>
    <xdr:from>
      <xdr:col>3</xdr:col>
      <xdr:colOff>447675</xdr:colOff>
      <xdr:row>6</xdr:row>
      <xdr:rowOff>95250</xdr:rowOff>
    </xdr:from>
    <xdr:to>
      <xdr:col>3</xdr:col>
      <xdr:colOff>990600</xdr:colOff>
      <xdr:row>9</xdr:row>
      <xdr:rowOff>0</xdr:rowOff>
    </xdr:to>
    <xdr:pic>
      <xdr:nvPicPr>
        <xdr:cNvPr id="2" name="Picture 14"/>
        <xdr:cNvPicPr preferRelativeResize="1">
          <a:picLocks noChangeAspect="1"/>
        </xdr:cNvPicPr>
      </xdr:nvPicPr>
      <xdr:blipFill>
        <a:blip r:embed="rId2"/>
        <a:stretch>
          <a:fillRect/>
        </a:stretch>
      </xdr:blipFill>
      <xdr:spPr>
        <a:xfrm>
          <a:off x="3905250" y="1304925"/>
          <a:ext cx="542925" cy="533400"/>
        </a:xfrm>
        <a:prstGeom prst="rect">
          <a:avLst/>
        </a:prstGeom>
        <a:noFill/>
        <a:ln w="9525" cmpd="sng">
          <a:noFill/>
        </a:ln>
      </xdr:spPr>
    </xdr:pic>
    <xdr:clientData/>
  </xdr:twoCellAnchor>
  <xdr:twoCellAnchor>
    <xdr:from>
      <xdr:col>3</xdr:col>
      <xdr:colOff>552450</xdr:colOff>
      <xdr:row>10</xdr:row>
      <xdr:rowOff>19050</xdr:rowOff>
    </xdr:from>
    <xdr:to>
      <xdr:col>3</xdr:col>
      <xdr:colOff>1000125</xdr:colOff>
      <xdr:row>12</xdr:row>
      <xdr:rowOff>133350</xdr:rowOff>
    </xdr:to>
    <xdr:pic>
      <xdr:nvPicPr>
        <xdr:cNvPr id="3" name="Picture 18"/>
        <xdr:cNvPicPr preferRelativeResize="1">
          <a:picLocks noChangeAspect="1"/>
        </xdr:cNvPicPr>
      </xdr:nvPicPr>
      <xdr:blipFill>
        <a:blip r:embed="rId3"/>
        <a:stretch>
          <a:fillRect/>
        </a:stretch>
      </xdr:blipFill>
      <xdr:spPr>
        <a:xfrm>
          <a:off x="4010025" y="2047875"/>
          <a:ext cx="447675" cy="590550"/>
        </a:xfrm>
        <a:prstGeom prst="rect">
          <a:avLst/>
        </a:prstGeom>
        <a:noFill/>
        <a:ln w="9525" cmpd="sng">
          <a:noFill/>
        </a:ln>
      </xdr:spPr>
    </xdr:pic>
    <xdr:clientData/>
  </xdr:twoCellAnchor>
  <xdr:twoCellAnchor>
    <xdr:from>
      <xdr:col>3</xdr:col>
      <xdr:colOff>381000</xdr:colOff>
      <xdr:row>13</xdr:row>
      <xdr:rowOff>47625</xdr:rowOff>
    </xdr:from>
    <xdr:to>
      <xdr:col>3</xdr:col>
      <xdr:colOff>1009650</xdr:colOff>
      <xdr:row>16</xdr:row>
      <xdr:rowOff>38100</xdr:rowOff>
    </xdr:to>
    <xdr:pic>
      <xdr:nvPicPr>
        <xdr:cNvPr id="4" name="Picture 20"/>
        <xdr:cNvPicPr preferRelativeResize="1">
          <a:picLocks noChangeAspect="1"/>
        </xdr:cNvPicPr>
      </xdr:nvPicPr>
      <xdr:blipFill>
        <a:blip r:embed="rId4"/>
        <a:srcRect l="11665" t="17399" r="33332" b="16116"/>
        <a:stretch>
          <a:fillRect/>
        </a:stretch>
      </xdr:blipFill>
      <xdr:spPr>
        <a:xfrm>
          <a:off x="3838575" y="2733675"/>
          <a:ext cx="628650" cy="561975"/>
        </a:xfrm>
        <a:prstGeom prst="rect">
          <a:avLst/>
        </a:prstGeom>
        <a:noFill/>
        <a:ln w="9525" cmpd="sng">
          <a:noFill/>
        </a:ln>
      </xdr:spPr>
    </xdr:pic>
    <xdr:clientData/>
  </xdr:twoCellAnchor>
  <xdr:twoCellAnchor>
    <xdr:from>
      <xdr:col>3</xdr:col>
      <xdr:colOff>314325</xdr:colOff>
      <xdr:row>17</xdr:row>
      <xdr:rowOff>76200</xdr:rowOff>
    </xdr:from>
    <xdr:to>
      <xdr:col>3</xdr:col>
      <xdr:colOff>942975</xdr:colOff>
      <xdr:row>20</xdr:row>
      <xdr:rowOff>142875</xdr:rowOff>
    </xdr:to>
    <xdr:pic>
      <xdr:nvPicPr>
        <xdr:cNvPr id="5" name="Picture 16"/>
        <xdr:cNvPicPr preferRelativeResize="1">
          <a:picLocks noChangeAspect="1"/>
        </xdr:cNvPicPr>
      </xdr:nvPicPr>
      <xdr:blipFill>
        <a:blip r:embed="rId5"/>
        <a:stretch>
          <a:fillRect/>
        </a:stretch>
      </xdr:blipFill>
      <xdr:spPr>
        <a:xfrm>
          <a:off x="3771900" y="3524250"/>
          <a:ext cx="62865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276225</xdr:colOff>
      <xdr:row>2</xdr:row>
      <xdr:rowOff>161925</xdr:rowOff>
    </xdr:from>
    <xdr:ext cx="3914775" cy="3705225"/>
    <xdr:graphicFrame>
      <xdr:nvGraphicFramePr>
        <xdr:cNvPr id="1" name="Chart 2" descr="Chart 0"/>
        <xdr:cNvGraphicFramePr/>
      </xdr:nvGraphicFramePr>
      <xdr:xfrm>
        <a:off x="5543550" y="542925"/>
        <a:ext cx="3914775" cy="3705225"/>
      </xdr:xfrm>
      <a:graphic>
        <a:graphicData uri="http://schemas.openxmlformats.org/drawingml/2006/chart">
          <c:chart xmlns:c="http://schemas.openxmlformats.org/drawingml/2006/chart" r:id="rId1"/>
        </a:graphicData>
      </a:graphic>
    </xdr:graphicFrame>
    <xdr:clientData fLocksWithSheet="0"/>
  </xdr:oneCellAnchor>
  <xdr:twoCellAnchor>
    <xdr:from>
      <xdr:col>1</xdr:col>
      <xdr:colOff>819150</xdr:colOff>
      <xdr:row>22</xdr:row>
      <xdr:rowOff>76200</xdr:rowOff>
    </xdr:from>
    <xdr:to>
      <xdr:col>1</xdr:col>
      <xdr:colOff>1066800</xdr:colOff>
      <xdr:row>22</xdr:row>
      <xdr:rowOff>409575</xdr:rowOff>
    </xdr:to>
    <xdr:pic>
      <xdr:nvPicPr>
        <xdr:cNvPr id="2" name="Picture 13"/>
        <xdr:cNvPicPr preferRelativeResize="1">
          <a:picLocks noChangeAspect="1"/>
        </xdr:cNvPicPr>
      </xdr:nvPicPr>
      <xdr:blipFill>
        <a:blip r:embed="rId2"/>
        <a:stretch>
          <a:fillRect/>
        </a:stretch>
      </xdr:blipFill>
      <xdr:spPr>
        <a:xfrm>
          <a:off x="2200275" y="5353050"/>
          <a:ext cx="247650" cy="333375"/>
        </a:xfrm>
        <a:prstGeom prst="rect">
          <a:avLst/>
        </a:prstGeom>
        <a:noFill/>
        <a:ln w="9525" cmpd="sng">
          <a:noFill/>
        </a:ln>
      </xdr:spPr>
    </xdr:pic>
    <xdr:clientData/>
  </xdr:twoCellAnchor>
  <xdr:twoCellAnchor>
    <xdr:from>
      <xdr:col>3</xdr:col>
      <xdr:colOff>895350</xdr:colOff>
      <xdr:row>22</xdr:row>
      <xdr:rowOff>47625</xdr:rowOff>
    </xdr:from>
    <xdr:to>
      <xdr:col>4</xdr:col>
      <xdr:colOff>19050</xdr:colOff>
      <xdr:row>22</xdr:row>
      <xdr:rowOff>352425</xdr:rowOff>
    </xdr:to>
    <xdr:pic>
      <xdr:nvPicPr>
        <xdr:cNvPr id="3" name="Picture 14"/>
        <xdr:cNvPicPr preferRelativeResize="1">
          <a:picLocks noChangeAspect="1"/>
        </xdr:cNvPicPr>
      </xdr:nvPicPr>
      <xdr:blipFill>
        <a:blip r:embed="rId3"/>
        <a:stretch>
          <a:fillRect/>
        </a:stretch>
      </xdr:blipFill>
      <xdr:spPr>
        <a:xfrm>
          <a:off x="4953000" y="5324475"/>
          <a:ext cx="333375" cy="304800"/>
        </a:xfrm>
        <a:prstGeom prst="rect">
          <a:avLst/>
        </a:prstGeom>
        <a:noFill/>
        <a:ln w="9525" cmpd="sng">
          <a:noFill/>
        </a:ln>
      </xdr:spPr>
    </xdr:pic>
    <xdr:clientData/>
  </xdr:twoCellAnchor>
  <xdr:twoCellAnchor>
    <xdr:from>
      <xdr:col>5</xdr:col>
      <xdr:colOff>790575</xdr:colOff>
      <xdr:row>22</xdr:row>
      <xdr:rowOff>95250</xdr:rowOff>
    </xdr:from>
    <xdr:to>
      <xdr:col>5</xdr:col>
      <xdr:colOff>1114425</xdr:colOff>
      <xdr:row>22</xdr:row>
      <xdr:rowOff>419100</xdr:rowOff>
    </xdr:to>
    <xdr:pic>
      <xdr:nvPicPr>
        <xdr:cNvPr id="4" name="Picture 18"/>
        <xdr:cNvPicPr preferRelativeResize="1">
          <a:picLocks noChangeAspect="1"/>
        </xdr:cNvPicPr>
      </xdr:nvPicPr>
      <xdr:blipFill>
        <a:blip r:embed="rId4"/>
        <a:stretch>
          <a:fillRect/>
        </a:stretch>
      </xdr:blipFill>
      <xdr:spPr>
        <a:xfrm>
          <a:off x="7267575" y="5372100"/>
          <a:ext cx="323850" cy="323850"/>
        </a:xfrm>
        <a:prstGeom prst="rect">
          <a:avLst/>
        </a:prstGeom>
        <a:noFill/>
        <a:ln w="9525" cmpd="sng">
          <a:noFill/>
        </a:ln>
      </xdr:spPr>
    </xdr:pic>
    <xdr:clientData/>
  </xdr:twoCellAnchor>
  <xdr:twoCellAnchor>
    <xdr:from>
      <xdr:col>4</xdr:col>
      <xdr:colOff>685800</xdr:colOff>
      <xdr:row>22</xdr:row>
      <xdr:rowOff>19050</xdr:rowOff>
    </xdr:from>
    <xdr:to>
      <xdr:col>4</xdr:col>
      <xdr:colOff>1143000</xdr:colOff>
      <xdr:row>22</xdr:row>
      <xdr:rowOff>390525</xdr:rowOff>
    </xdr:to>
    <xdr:pic>
      <xdr:nvPicPr>
        <xdr:cNvPr id="5" name="Picture 20"/>
        <xdr:cNvPicPr preferRelativeResize="1">
          <a:picLocks noChangeAspect="1"/>
        </xdr:cNvPicPr>
      </xdr:nvPicPr>
      <xdr:blipFill>
        <a:blip r:embed="rId5"/>
        <a:srcRect l="11665" t="17399" r="33332" b="16116"/>
        <a:stretch>
          <a:fillRect/>
        </a:stretch>
      </xdr:blipFill>
      <xdr:spPr>
        <a:xfrm>
          <a:off x="5953125" y="5295900"/>
          <a:ext cx="457200" cy="371475"/>
        </a:xfrm>
        <a:prstGeom prst="rect">
          <a:avLst/>
        </a:prstGeom>
        <a:noFill/>
        <a:ln w="9525" cmpd="sng">
          <a:noFill/>
        </a:ln>
      </xdr:spPr>
    </xdr:pic>
    <xdr:clientData/>
  </xdr:twoCellAnchor>
  <xdr:twoCellAnchor>
    <xdr:from>
      <xdr:col>6</xdr:col>
      <xdr:colOff>714375</xdr:colOff>
      <xdr:row>22</xdr:row>
      <xdr:rowOff>85725</xdr:rowOff>
    </xdr:from>
    <xdr:to>
      <xdr:col>6</xdr:col>
      <xdr:colOff>1095375</xdr:colOff>
      <xdr:row>22</xdr:row>
      <xdr:rowOff>495300</xdr:rowOff>
    </xdr:to>
    <xdr:pic>
      <xdr:nvPicPr>
        <xdr:cNvPr id="6" name="Picture 16"/>
        <xdr:cNvPicPr preferRelativeResize="1">
          <a:picLocks noChangeAspect="1"/>
        </xdr:cNvPicPr>
      </xdr:nvPicPr>
      <xdr:blipFill>
        <a:blip r:embed="rId6"/>
        <a:stretch>
          <a:fillRect/>
        </a:stretch>
      </xdr:blipFill>
      <xdr:spPr>
        <a:xfrm>
          <a:off x="8401050" y="5362575"/>
          <a:ext cx="381000" cy="409575"/>
        </a:xfrm>
        <a:prstGeom prst="rect">
          <a:avLst/>
        </a:prstGeom>
        <a:noFill/>
        <a:ln w="9525" cmpd="sng">
          <a:noFill/>
        </a:ln>
      </xdr:spPr>
    </xdr:pic>
    <xdr:clientData/>
  </xdr:twoCellAnchor>
  <xdr:twoCellAnchor>
    <xdr:from>
      <xdr:col>2</xdr:col>
      <xdr:colOff>1057275</xdr:colOff>
      <xdr:row>22</xdr:row>
      <xdr:rowOff>76200</xdr:rowOff>
    </xdr:from>
    <xdr:to>
      <xdr:col>2</xdr:col>
      <xdr:colOff>1295400</xdr:colOff>
      <xdr:row>22</xdr:row>
      <xdr:rowOff>409575</xdr:rowOff>
    </xdr:to>
    <xdr:pic>
      <xdr:nvPicPr>
        <xdr:cNvPr id="7" name="Picture 13"/>
        <xdr:cNvPicPr preferRelativeResize="1">
          <a:picLocks noChangeAspect="1"/>
        </xdr:cNvPicPr>
      </xdr:nvPicPr>
      <xdr:blipFill>
        <a:blip r:embed="rId2"/>
        <a:stretch>
          <a:fillRect/>
        </a:stretch>
      </xdr:blipFill>
      <xdr:spPr>
        <a:xfrm>
          <a:off x="3667125" y="5353050"/>
          <a:ext cx="238125"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276225</xdr:colOff>
      <xdr:row>2</xdr:row>
      <xdr:rowOff>161925</xdr:rowOff>
    </xdr:from>
    <xdr:ext cx="3924300" cy="3705225"/>
    <xdr:graphicFrame>
      <xdr:nvGraphicFramePr>
        <xdr:cNvPr id="1" name="Chart 2" descr="Chart 0"/>
        <xdr:cNvGraphicFramePr/>
      </xdr:nvGraphicFramePr>
      <xdr:xfrm>
        <a:off x="5543550" y="542925"/>
        <a:ext cx="3924300" cy="3705225"/>
      </xdr:xfrm>
      <a:graphic>
        <a:graphicData uri="http://schemas.openxmlformats.org/drawingml/2006/chart">
          <c:chart xmlns:c="http://schemas.openxmlformats.org/drawingml/2006/chart" r:id="rId1"/>
        </a:graphicData>
      </a:graphic>
    </xdr:graphicFrame>
    <xdr:clientData fLocksWithSheet="0"/>
  </xdr:oneCellAnchor>
  <xdr:twoCellAnchor>
    <xdr:from>
      <xdr:col>1</xdr:col>
      <xdr:colOff>819150</xdr:colOff>
      <xdr:row>22</xdr:row>
      <xdr:rowOff>76200</xdr:rowOff>
    </xdr:from>
    <xdr:to>
      <xdr:col>1</xdr:col>
      <xdr:colOff>1066800</xdr:colOff>
      <xdr:row>22</xdr:row>
      <xdr:rowOff>409575</xdr:rowOff>
    </xdr:to>
    <xdr:pic>
      <xdr:nvPicPr>
        <xdr:cNvPr id="2" name="Picture 13"/>
        <xdr:cNvPicPr preferRelativeResize="1">
          <a:picLocks noChangeAspect="1"/>
        </xdr:cNvPicPr>
      </xdr:nvPicPr>
      <xdr:blipFill>
        <a:blip r:embed="rId2"/>
        <a:stretch>
          <a:fillRect/>
        </a:stretch>
      </xdr:blipFill>
      <xdr:spPr>
        <a:xfrm>
          <a:off x="2200275" y="5353050"/>
          <a:ext cx="247650" cy="333375"/>
        </a:xfrm>
        <a:prstGeom prst="rect">
          <a:avLst/>
        </a:prstGeom>
        <a:noFill/>
        <a:ln w="9525" cmpd="sng">
          <a:noFill/>
        </a:ln>
      </xdr:spPr>
    </xdr:pic>
    <xdr:clientData/>
  </xdr:twoCellAnchor>
  <xdr:twoCellAnchor>
    <xdr:from>
      <xdr:col>3</xdr:col>
      <xdr:colOff>895350</xdr:colOff>
      <xdr:row>22</xdr:row>
      <xdr:rowOff>47625</xdr:rowOff>
    </xdr:from>
    <xdr:to>
      <xdr:col>4</xdr:col>
      <xdr:colOff>19050</xdr:colOff>
      <xdr:row>22</xdr:row>
      <xdr:rowOff>352425</xdr:rowOff>
    </xdr:to>
    <xdr:pic>
      <xdr:nvPicPr>
        <xdr:cNvPr id="3" name="Picture 14"/>
        <xdr:cNvPicPr preferRelativeResize="1">
          <a:picLocks noChangeAspect="1"/>
        </xdr:cNvPicPr>
      </xdr:nvPicPr>
      <xdr:blipFill>
        <a:blip r:embed="rId3"/>
        <a:stretch>
          <a:fillRect/>
        </a:stretch>
      </xdr:blipFill>
      <xdr:spPr>
        <a:xfrm>
          <a:off x="4953000" y="5324475"/>
          <a:ext cx="333375" cy="304800"/>
        </a:xfrm>
        <a:prstGeom prst="rect">
          <a:avLst/>
        </a:prstGeom>
        <a:noFill/>
        <a:ln w="9525" cmpd="sng">
          <a:noFill/>
        </a:ln>
      </xdr:spPr>
    </xdr:pic>
    <xdr:clientData/>
  </xdr:twoCellAnchor>
  <xdr:twoCellAnchor>
    <xdr:from>
      <xdr:col>5</xdr:col>
      <xdr:colOff>790575</xdr:colOff>
      <xdr:row>22</xdr:row>
      <xdr:rowOff>95250</xdr:rowOff>
    </xdr:from>
    <xdr:to>
      <xdr:col>5</xdr:col>
      <xdr:colOff>1114425</xdr:colOff>
      <xdr:row>22</xdr:row>
      <xdr:rowOff>419100</xdr:rowOff>
    </xdr:to>
    <xdr:pic>
      <xdr:nvPicPr>
        <xdr:cNvPr id="4" name="Picture 18"/>
        <xdr:cNvPicPr preferRelativeResize="1">
          <a:picLocks noChangeAspect="1"/>
        </xdr:cNvPicPr>
      </xdr:nvPicPr>
      <xdr:blipFill>
        <a:blip r:embed="rId4"/>
        <a:stretch>
          <a:fillRect/>
        </a:stretch>
      </xdr:blipFill>
      <xdr:spPr>
        <a:xfrm>
          <a:off x="7267575" y="5372100"/>
          <a:ext cx="323850" cy="323850"/>
        </a:xfrm>
        <a:prstGeom prst="rect">
          <a:avLst/>
        </a:prstGeom>
        <a:noFill/>
        <a:ln w="9525" cmpd="sng">
          <a:noFill/>
        </a:ln>
      </xdr:spPr>
    </xdr:pic>
    <xdr:clientData/>
  </xdr:twoCellAnchor>
  <xdr:twoCellAnchor>
    <xdr:from>
      <xdr:col>4</xdr:col>
      <xdr:colOff>685800</xdr:colOff>
      <xdr:row>22</xdr:row>
      <xdr:rowOff>19050</xdr:rowOff>
    </xdr:from>
    <xdr:to>
      <xdr:col>4</xdr:col>
      <xdr:colOff>1143000</xdr:colOff>
      <xdr:row>22</xdr:row>
      <xdr:rowOff>390525</xdr:rowOff>
    </xdr:to>
    <xdr:pic>
      <xdr:nvPicPr>
        <xdr:cNvPr id="5" name="Picture 20"/>
        <xdr:cNvPicPr preferRelativeResize="1">
          <a:picLocks noChangeAspect="1"/>
        </xdr:cNvPicPr>
      </xdr:nvPicPr>
      <xdr:blipFill>
        <a:blip r:embed="rId5"/>
        <a:srcRect l="11665" t="17399" r="33332" b="16116"/>
        <a:stretch>
          <a:fillRect/>
        </a:stretch>
      </xdr:blipFill>
      <xdr:spPr>
        <a:xfrm>
          <a:off x="5953125" y="5295900"/>
          <a:ext cx="457200" cy="371475"/>
        </a:xfrm>
        <a:prstGeom prst="rect">
          <a:avLst/>
        </a:prstGeom>
        <a:noFill/>
        <a:ln w="9525" cmpd="sng">
          <a:noFill/>
        </a:ln>
      </xdr:spPr>
    </xdr:pic>
    <xdr:clientData/>
  </xdr:twoCellAnchor>
  <xdr:twoCellAnchor>
    <xdr:from>
      <xdr:col>6</xdr:col>
      <xdr:colOff>714375</xdr:colOff>
      <xdr:row>22</xdr:row>
      <xdr:rowOff>85725</xdr:rowOff>
    </xdr:from>
    <xdr:to>
      <xdr:col>6</xdr:col>
      <xdr:colOff>1095375</xdr:colOff>
      <xdr:row>22</xdr:row>
      <xdr:rowOff>495300</xdr:rowOff>
    </xdr:to>
    <xdr:pic>
      <xdr:nvPicPr>
        <xdr:cNvPr id="6" name="Picture 16"/>
        <xdr:cNvPicPr preferRelativeResize="1">
          <a:picLocks noChangeAspect="1"/>
        </xdr:cNvPicPr>
      </xdr:nvPicPr>
      <xdr:blipFill>
        <a:blip r:embed="rId6"/>
        <a:stretch>
          <a:fillRect/>
        </a:stretch>
      </xdr:blipFill>
      <xdr:spPr>
        <a:xfrm>
          <a:off x="8401050" y="5362575"/>
          <a:ext cx="381000" cy="409575"/>
        </a:xfrm>
        <a:prstGeom prst="rect">
          <a:avLst/>
        </a:prstGeom>
        <a:noFill/>
        <a:ln w="9525" cmpd="sng">
          <a:noFill/>
        </a:ln>
      </xdr:spPr>
    </xdr:pic>
    <xdr:clientData/>
  </xdr:twoCellAnchor>
  <xdr:twoCellAnchor>
    <xdr:from>
      <xdr:col>2</xdr:col>
      <xdr:colOff>1057275</xdr:colOff>
      <xdr:row>22</xdr:row>
      <xdr:rowOff>76200</xdr:rowOff>
    </xdr:from>
    <xdr:to>
      <xdr:col>2</xdr:col>
      <xdr:colOff>1295400</xdr:colOff>
      <xdr:row>22</xdr:row>
      <xdr:rowOff>409575</xdr:rowOff>
    </xdr:to>
    <xdr:pic>
      <xdr:nvPicPr>
        <xdr:cNvPr id="7" name="Picture 13"/>
        <xdr:cNvPicPr preferRelativeResize="1">
          <a:picLocks noChangeAspect="1"/>
        </xdr:cNvPicPr>
      </xdr:nvPicPr>
      <xdr:blipFill>
        <a:blip r:embed="rId2"/>
        <a:stretch>
          <a:fillRect/>
        </a:stretch>
      </xdr:blipFill>
      <xdr:spPr>
        <a:xfrm>
          <a:off x="3667125" y="5353050"/>
          <a:ext cx="238125"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waitrose.com/ecom/products/waitrose-physalis/088241-45208-45209" TargetMode="External" /><Relationship Id="rId2" Type="http://schemas.openxmlformats.org/officeDocument/2006/relationships/hyperlink" Target="https://www.abelandcole.co.uk/shop/product/5080/crab-apples-organic-750g?altmenu=carrot"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abelandcole.co.uk/shop/product/5080/crab-apples-organic-750g?altmenu=carrot"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21"/>
  <sheetViews>
    <sheetView tabSelected="1" zoomScale="85" zoomScaleNormal="85" zoomScalePageLayoutView="0" workbookViewId="0" topLeftCell="A1">
      <selection activeCell="A23" sqref="A23"/>
    </sheetView>
  </sheetViews>
  <sheetFormatPr defaultColWidth="9.140625" defaultRowHeight="15"/>
  <cols>
    <col min="1" max="3" width="17.28125" style="0" customWidth="1"/>
    <col min="4" max="6" width="17.421875" style="0" customWidth="1"/>
  </cols>
  <sheetData>
    <row r="1" spans="1:6" ht="18.75">
      <c r="A1" s="46" t="s">
        <v>149</v>
      </c>
      <c r="B1" s="36"/>
      <c r="C1" s="36"/>
      <c r="D1" s="37" t="s">
        <v>142</v>
      </c>
      <c r="E1" s="37"/>
      <c r="F1" s="38"/>
    </row>
    <row r="2" spans="1:6" ht="18.75">
      <c r="A2" s="41"/>
      <c r="B2" s="39"/>
      <c r="C2" s="39"/>
      <c r="D2" s="39"/>
      <c r="E2" s="39"/>
      <c r="F2" s="40"/>
    </row>
    <row r="3" spans="1:6" ht="14.25" customHeight="1">
      <c r="A3" s="89" t="s">
        <v>159</v>
      </c>
      <c r="B3" s="90"/>
      <c r="C3" s="90"/>
      <c r="D3" s="95"/>
      <c r="E3" s="87" t="s">
        <v>147</v>
      </c>
      <c r="F3" s="88"/>
    </row>
    <row r="4" spans="1:6" ht="13.5" customHeight="1">
      <c r="A4" s="89"/>
      <c r="B4" s="90"/>
      <c r="C4" s="90"/>
      <c r="D4" s="95"/>
      <c r="E4" s="87"/>
      <c r="F4" s="88"/>
    </row>
    <row r="5" spans="1:6" ht="15">
      <c r="A5" s="89"/>
      <c r="B5" s="90"/>
      <c r="C5" s="90"/>
      <c r="D5" s="95"/>
      <c r="E5" s="87"/>
      <c r="F5" s="88"/>
    </row>
    <row r="6" spans="1:6" ht="15">
      <c r="A6" s="89"/>
      <c r="B6" s="90"/>
      <c r="C6" s="90"/>
      <c r="D6" s="39"/>
      <c r="E6" s="39"/>
      <c r="F6" s="42"/>
    </row>
    <row r="7" spans="1:6" ht="15">
      <c r="A7" s="89"/>
      <c r="B7" s="90"/>
      <c r="C7" s="90"/>
      <c r="D7" s="39"/>
      <c r="E7" s="96" t="s">
        <v>146</v>
      </c>
      <c r="F7" s="97"/>
    </row>
    <row r="8" spans="1:6" ht="15">
      <c r="A8" s="89"/>
      <c r="B8" s="90"/>
      <c r="C8" s="90"/>
      <c r="D8" s="39"/>
      <c r="E8" s="96"/>
      <c r="F8" s="97"/>
    </row>
    <row r="9" spans="1:6" ht="19.5" customHeight="1">
      <c r="A9" s="89"/>
      <c r="B9" s="90"/>
      <c r="C9" s="90"/>
      <c r="D9" s="39"/>
      <c r="E9" s="96"/>
      <c r="F9" s="97"/>
    </row>
    <row r="10" spans="1:6" ht="15">
      <c r="A10" s="89"/>
      <c r="B10" s="90"/>
      <c r="C10" s="90"/>
      <c r="D10" s="39"/>
      <c r="E10" s="87" t="s">
        <v>155</v>
      </c>
      <c r="F10" s="88"/>
    </row>
    <row r="11" spans="1:6" ht="15">
      <c r="A11" s="89"/>
      <c r="B11" s="90"/>
      <c r="C11" s="90"/>
      <c r="D11" s="39"/>
      <c r="E11" s="87"/>
      <c r="F11" s="88"/>
    </row>
    <row r="12" spans="1:6" s="2" customFormat="1" ht="22.5" customHeight="1">
      <c r="A12" s="89"/>
      <c r="B12" s="90"/>
      <c r="C12" s="90"/>
      <c r="D12" s="39"/>
      <c r="E12" s="87"/>
      <c r="F12" s="88"/>
    </row>
    <row r="13" spans="1:6" ht="14.25" customHeight="1">
      <c r="A13" s="89"/>
      <c r="B13" s="90"/>
      <c r="C13" s="90"/>
      <c r="D13" s="39"/>
      <c r="E13" s="24"/>
      <c r="F13" s="43"/>
    </row>
    <row r="14" spans="1:6" ht="15">
      <c r="A14" s="89"/>
      <c r="B14" s="90"/>
      <c r="C14" s="90"/>
      <c r="D14" s="39"/>
      <c r="E14" s="87" t="s">
        <v>143</v>
      </c>
      <c r="F14" s="88"/>
    </row>
    <row r="15" spans="1:6" ht="15">
      <c r="A15" s="89"/>
      <c r="B15" s="90"/>
      <c r="C15" s="90"/>
      <c r="D15" s="32"/>
      <c r="E15" s="87"/>
      <c r="F15" s="88"/>
    </row>
    <row r="16" spans="1:6" ht="15">
      <c r="A16" s="89"/>
      <c r="B16" s="90"/>
      <c r="C16" s="90"/>
      <c r="D16" s="32"/>
      <c r="E16" s="87"/>
      <c r="F16" s="88"/>
    </row>
    <row r="17" spans="1:6" ht="15">
      <c r="A17" s="89"/>
      <c r="B17" s="90"/>
      <c r="C17" s="90"/>
      <c r="D17" s="32"/>
      <c r="E17" s="25"/>
      <c r="F17" s="44"/>
    </row>
    <row r="18" spans="1:6" ht="15">
      <c r="A18" s="48"/>
      <c r="B18" s="47"/>
      <c r="C18" s="47"/>
      <c r="D18" s="32"/>
      <c r="E18" s="83" t="s">
        <v>145</v>
      </c>
      <c r="F18" s="84"/>
    </row>
    <row r="19" spans="1:6" ht="15">
      <c r="A19" s="91" t="s">
        <v>158</v>
      </c>
      <c r="B19" s="92"/>
      <c r="C19" s="92"/>
      <c r="D19" s="32"/>
      <c r="E19" s="83"/>
      <c r="F19" s="84"/>
    </row>
    <row r="20" spans="1:6" ht="15">
      <c r="A20" s="91"/>
      <c r="B20" s="92"/>
      <c r="C20" s="92"/>
      <c r="D20" s="39"/>
      <c r="E20" s="83"/>
      <c r="F20" s="84"/>
    </row>
    <row r="21" spans="1:6" ht="15.75" thickBot="1">
      <c r="A21" s="93"/>
      <c r="B21" s="94"/>
      <c r="C21" s="94"/>
      <c r="D21" s="45"/>
      <c r="E21" s="85"/>
      <c r="F21" s="86"/>
    </row>
  </sheetData>
  <sheetProtection/>
  <mergeCells count="8">
    <mergeCell ref="E18:F21"/>
    <mergeCell ref="E14:F16"/>
    <mergeCell ref="A3:C17"/>
    <mergeCell ref="A19:C21"/>
    <mergeCell ref="D3:D5"/>
    <mergeCell ref="E3:F5"/>
    <mergeCell ref="E7:F9"/>
    <mergeCell ref="E10:F12"/>
  </mergeCells>
  <printOptions/>
  <pageMargins left="0.7" right="0.7" top="0.75" bottom="0.75" header="0.3" footer="0.3"/>
  <pageSetup orientation="landscape" paperSize="9" r:id="rId2"/>
  <drawing r:id="rId1"/>
</worksheet>
</file>

<file path=xl/worksheets/sheet2.xml><?xml version="1.0" encoding="utf-8"?>
<worksheet xmlns="http://schemas.openxmlformats.org/spreadsheetml/2006/main" xmlns:r="http://schemas.openxmlformats.org/officeDocument/2006/relationships">
  <dimension ref="A1:AG1000"/>
  <sheetViews>
    <sheetView zoomScale="85" zoomScaleNormal="85" zoomScalePageLayoutView="0" workbookViewId="0" topLeftCell="A1">
      <pane xSplit="1" topLeftCell="B1" activePane="topRight" state="frozen"/>
      <selection pane="topLeft" activeCell="A15" sqref="A15"/>
      <selection pane="topRight" activeCell="B24" sqref="B24:B123"/>
    </sheetView>
  </sheetViews>
  <sheetFormatPr defaultColWidth="14.421875" defaultRowHeight="15" customHeight="1"/>
  <cols>
    <col min="1" max="1" width="20.7109375" style="0" customWidth="1"/>
    <col min="2" max="2" width="18.421875" style="0" customWidth="1"/>
    <col min="3" max="3" width="21.7109375" style="0" customWidth="1"/>
    <col min="4" max="4" width="18.140625" style="0" customWidth="1"/>
    <col min="5" max="7" width="18.140625" style="2" customWidth="1"/>
    <col min="8" max="9" width="12.8515625" style="0" customWidth="1"/>
    <col min="10" max="10" width="13.57421875" style="0" hidden="1" customWidth="1"/>
    <col min="11" max="11" width="11.28125" style="0" hidden="1" customWidth="1"/>
    <col min="12" max="14" width="8.7109375" style="2" hidden="1" customWidth="1"/>
    <col min="15" max="20" width="8.7109375" style="0" hidden="1" customWidth="1"/>
    <col min="21" max="21" width="11.8515625" style="0" hidden="1" customWidth="1"/>
    <col min="22" max="22" width="14.57421875" style="0" hidden="1" customWidth="1"/>
    <col min="23" max="23" width="9.140625" style="0" hidden="1" customWidth="1"/>
    <col min="24" max="26" width="8.7109375" style="0" hidden="1" customWidth="1"/>
    <col min="27" max="29" width="9.140625" style="0" hidden="1" customWidth="1"/>
    <col min="30" max="32" width="8.00390625" style="0" hidden="1" customWidth="1"/>
    <col min="33" max="33" width="0" style="0" hidden="1" customWidth="1"/>
  </cols>
  <sheetData>
    <row r="1" spans="1:5" s="23" customFormat="1" ht="15" customHeight="1" thickBot="1">
      <c r="A1" s="105" t="s">
        <v>156</v>
      </c>
      <c r="B1" s="106"/>
      <c r="C1" s="106"/>
      <c r="D1" s="107"/>
      <c r="E1" s="63"/>
    </row>
    <row r="2" spans="1:5" s="23" customFormat="1" ht="15" customHeight="1">
      <c r="A2" s="63"/>
      <c r="B2" s="63"/>
      <c r="C2" s="63"/>
      <c r="D2" s="63"/>
      <c r="E2" s="63"/>
    </row>
    <row r="3" spans="1:26" s="2" customFormat="1" ht="15" customHeight="1">
      <c r="A3" s="108" t="s">
        <v>0</v>
      </c>
      <c r="B3" s="109"/>
      <c r="C3" s="109"/>
      <c r="D3" s="109"/>
      <c r="E3" s="23"/>
      <c r="F3" s="23"/>
      <c r="G3" s="23"/>
      <c r="H3" s="23"/>
      <c r="I3" s="23"/>
      <c r="J3" s="23"/>
      <c r="K3" s="23"/>
      <c r="L3" s="23"/>
      <c r="M3" s="23"/>
      <c r="N3" s="23"/>
      <c r="O3" s="23"/>
      <c r="P3" s="23"/>
      <c r="Q3" s="23"/>
      <c r="R3" s="23"/>
      <c r="S3" s="23"/>
      <c r="T3" s="23"/>
      <c r="U3" s="23"/>
      <c r="V3" s="23"/>
      <c r="W3" s="23"/>
      <c r="X3" s="23"/>
      <c r="Y3" s="23"/>
      <c r="Z3" s="23"/>
    </row>
    <row r="4" spans="1:26" s="28" customFormat="1" ht="15.75" customHeight="1">
      <c r="A4" s="31"/>
      <c r="B4" s="31"/>
      <c r="C4" s="31"/>
      <c r="D4" s="31"/>
      <c r="E4" s="30"/>
      <c r="F4" s="30"/>
      <c r="G4" s="26"/>
      <c r="H4" s="62"/>
      <c r="I4" s="62"/>
      <c r="J4" s="31"/>
      <c r="K4" s="31"/>
      <c r="L4" s="31"/>
      <c r="M4" s="31"/>
      <c r="N4" s="31"/>
      <c r="O4" s="31"/>
      <c r="P4" s="31"/>
      <c r="Q4" s="31"/>
      <c r="R4" s="31"/>
      <c r="S4" s="31"/>
      <c r="T4" s="31"/>
      <c r="U4" s="31"/>
      <c r="V4" s="49"/>
      <c r="W4" s="49"/>
      <c r="X4" s="49"/>
      <c r="Y4" s="49"/>
      <c r="Z4" s="49"/>
    </row>
    <row r="5" spans="1:32" ht="15" customHeight="1">
      <c r="A5" s="110" t="s">
        <v>151</v>
      </c>
      <c r="B5" s="111"/>
      <c r="C5" s="111"/>
      <c r="D5" s="111"/>
      <c r="E5" s="95"/>
      <c r="F5" s="87"/>
      <c r="G5" s="87"/>
      <c r="H5" s="4"/>
      <c r="I5" s="4"/>
      <c r="R5" s="2"/>
      <c r="S5" s="2"/>
      <c r="V5" s="3"/>
      <c r="W5" s="3"/>
      <c r="X5" s="3"/>
      <c r="Y5" s="3"/>
      <c r="Z5" s="3"/>
      <c r="AD5" s="2"/>
      <c r="AE5" s="2"/>
      <c r="AF5" s="2"/>
    </row>
    <row r="6" spans="1:32" ht="15" customHeight="1">
      <c r="A6" s="111"/>
      <c r="B6" s="112"/>
      <c r="C6" s="112"/>
      <c r="D6" s="112"/>
      <c r="E6" s="95"/>
      <c r="F6" s="87"/>
      <c r="G6" s="87"/>
      <c r="H6" s="4"/>
      <c r="I6" s="4"/>
      <c r="R6" s="2"/>
      <c r="S6" s="2"/>
      <c r="V6" s="3"/>
      <c r="W6" s="3"/>
      <c r="X6" s="3"/>
      <c r="Y6" s="3"/>
      <c r="Z6" s="3"/>
      <c r="AD6" s="2"/>
      <c r="AE6" s="2"/>
      <c r="AF6" s="2"/>
    </row>
    <row r="7" spans="1:32" ht="15" customHeight="1">
      <c r="A7" s="111"/>
      <c r="B7" s="112"/>
      <c r="C7" s="112"/>
      <c r="D7" s="112"/>
      <c r="E7" s="95"/>
      <c r="F7" s="87"/>
      <c r="G7" s="87"/>
      <c r="H7" s="4"/>
      <c r="I7" s="4"/>
      <c r="R7" s="2"/>
      <c r="S7" s="2"/>
      <c r="V7" s="3"/>
      <c r="W7" s="3"/>
      <c r="X7" s="3"/>
      <c r="Y7" s="3"/>
      <c r="Z7" s="3"/>
      <c r="AD7" s="2"/>
      <c r="AE7" s="2"/>
      <c r="AF7" s="2"/>
    </row>
    <row r="8" spans="1:32" ht="15" customHeight="1">
      <c r="A8" s="111"/>
      <c r="B8" s="112"/>
      <c r="C8" s="112"/>
      <c r="D8" s="112"/>
      <c r="E8" s="23"/>
      <c r="F8" s="102"/>
      <c r="G8" s="102"/>
      <c r="H8" s="4"/>
      <c r="I8" s="4"/>
      <c r="R8" s="2"/>
      <c r="S8" s="2"/>
      <c r="V8" s="3"/>
      <c r="W8" s="3"/>
      <c r="X8" s="3"/>
      <c r="Y8" s="3"/>
      <c r="Z8" s="3"/>
      <c r="AD8" s="2"/>
      <c r="AE8" s="2"/>
      <c r="AF8" s="2"/>
    </row>
    <row r="9" spans="1:32" ht="15" customHeight="1">
      <c r="A9" s="111"/>
      <c r="B9" s="112"/>
      <c r="C9" s="112"/>
      <c r="D9" s="112"/>
      <c r="E9" s="23"/>
      <c r="F9" s="102"/>
      <c r="G9" s="102"/>
      <c r="H9" s="4"/>
      <c r="I9" s="4"/>
      <c r="R9" s="2"/>
      <c r="S9" s="2"/>
      <c r="V9" s="3"/>
      <c r="W9" s="3"/>
      <c r="X9" s="3"/>
      <c r="Y9" s="3"/>
      <c r="Z9" s="3"/>
      <c r="AD9" s="2"/>
      <c r="AE9" s="2"/>
      <c r="AF9" s="2"/>
    </row>
    <row r="10" spans="1:32" ht="15" customHeight="1">
      <c r="A10" s="111"/>
      <c r="B10" s="112"/>
      <c r="C10" s="112"/>
      <c r="D10" s="112"/>
      <c r="E10" s="23"/>
      <c r="F10" s="102"/>
      <c r="G10" s="102"/>
      <c r="H10" s="4"/>
      <c r="I10" s="4"/>
      <c r="R10" s="2"/>
      <c r="S10" s="2"/>
      <c r="V10" s="3"/>
      <c r="W10" s="3"/>
      <c r="X10" s="3"/>
      <c r="Y10" s="3"/>
      <c r="Z10" s="3"/>
      <c r="AD10" s="2"/>
      <c r="AE10" s="2"/>
      <c r="AF10" s="2"/>
    </row>
    <row r="11" spans="1:32" ht="15.75" customHeight="1">
      <c r="A11" s="111"/>
      <c r="B11" s="112"/>
      <c r="C11" s="112"/>
      <c r="D11" s="112"/>
      <c r="E11" s="23"/>
      <c r="F11" s="101"/>
      <c r="G11" s="101"/>
      <c r="H11" s="4"/>
      <c r="I11" s="4"/>
      <c r="R11" s="2"/>
      <c r="S11" s="2"/>
      <c r="V11" s="3"/>
      <c r="W11" s="3"/>
      <c r="X11" s="3"/>
      <c r="Y11" s="3"/>
      <c r="Z11" s="3"/>
      <c r="AD11" s="2"/>
      <c r="AE11" s="2"/>
      <c r="AF11" s="2"/>
    </row>
    <row r="12" spans="1:32" ht="25.5" customHeight="1">
      <c r="A12" s="111"/>
      <c r="B12" s="112"/>
      <c r="C12" s="112"/>
      <c r="D12" s="112"/>
      <c r="E12" s="23"/>
      <c r="F12" s="101"/>
      <c r="G12" s="101"/>
      <c r="H12" s="4"/>
      <c r="I12" s="4"/>
      <c r="R12" s="2"/>
      <c r="S12" s="2"/>
      <c r="V12" s="3"/>
      <c r="W12" s="3"/>
      <c r="X12" s="3"/>
      <c r="Y12" s="3"/>
      <c r="Z12" s="3"/>
      <c r="AD12" s="2"/>
      <c r="AE12" s="2"/>
      <c r="AF12" s="2"/>
    </row>
    <row r="13" spans="1:32" ht="15.75" customHeight="1">
      <c r="A13" s="111"/>
      <c r="B13" s="112"/>
      <c r="C13" s="112"/>
      <c r="D13" s="112"/>
      <c r="E13" s="23"/>
      <c r="F13" s="101"/>
      <c r="G13" s="101"/>
      <c r="H13" s="4"/>
      <c r="I13" s="4"/>
      <c r="R13" s="2"/>
      <c r="S13" s="2"/>
      <c r="V13" s="3"/>
      <c r="W13" s="3"/>
      <c r="X13" s="3"/>
      <c r="Y13" s="3"/>
      <c r="Z13" s="3"/>
      <c r="AD13" s="2"/>
      <c r="AE13" s="2"/>
      <c r="AF13" s="2"/>
    </row>
    <row r="14" spans="1:32" ht="55.5" customHeight="1">
      <c r="A14" s="111"/>
      <c r="B14" s="112"/>
      <c r="C14" s="112"/>
      <c r="D14" s="112"/>
      <c r="E14" s="23"/>
      <c r="F14" s="101"/>
      <c r="G14" s="101"/>
      <c r="H14" s="4"/>
      <c r="I14" s="4"/>
      <c r="R14" s="2"/>
      <c r="S14" s="2"/>
      <c r="V14" s="3"/>
      <c r="W14" s="3"/>
      <c r="X14" s="3"/>
      <c r="Y14" s="3"/>
      <c r="Z14" s="3"/>
      <c r="AD14" s="2"/>
      <c r="AE14" s="2"/>
      <c r="AF14" s="2"/>
    </row>
    <row r="15" spans="1:31" ht="42" customHeight="1">
      <c r="A15" s="113" t="s">
        <v>1</v>
      </c>
      <c r="B15" s="114"/>
      <c r="C15" s="3"/>
      <c r="D15" s="19"/>
      <c r="E15" s="19"/>
      <c r="F15" s="101"/>
      <c r="G15" s="101"/>
      <c r="H15" s="3"/>
      <c r="I15" s="23"/>
      <c r="K15" s="2"/>
      <c r="N15"/>
      <c r="Q15" s="2"/>
      <c r="R15" s="2"/>
      <c r="U15" s="3"/>
      <c r="V15" s="3"/>
      <c r="W15" s="3"/>
      <c r="X15" s="3"/>
      <c r="Y15" s="3"/>
      <c r="AC15" s="2"/>
      <c r="AD15" s="2"/>
      <c r="AE15" s="2"/>
    </row>
    <row r="16" spans="1:31" ht="15.75" customHeight="1">
      <c r="A16" s="6" t="s">
        <v>2</v>
      </c>
      <c r="B16" s="7"/>
      <c r="C16" s="3"/>
      <c r="D16" s="19"/>
      <c r="E16" s="19"/>
      <c r="F16" s="100" t="s">
        <v>152</v>
      </c>
      <c r="G16" s="100"/>
      <c r="H16" s="3"/>
      <c r="I16" s="23"/>
      <c r="K16" s="2"/>
      <c r="N16"/>
      <c r="Q16" s="2"/>
      <c r="R16" s="2"/>
      <c r="U16" s="3"/>
      <c r="V16" s="3"/>
      <c r="W16" s="3"/>
      <c r="X16" s="3"/>
      <c r="Y16" s="3"/>
      <c r="AC16" s="2"/>
      <c r="AD16" s="2"/>
      <c r="AE16" s="2"/>
    </row>
    <row r="17" spans="1:31" ht="15.75" customHeight="1">
      <c r="A17" s="6" t="s">
        <v>3</v>
      </c>
      <c r="B17" s="8"/>
      <c r="D17" s="19"/>
      <c r="E17" s="19"/>
      <c r="F17" s="100"/>
      <c r="G17" s="100"/>
      <c r="H17" s="3"/>
      <c r="I17" s="23"/>
      <c r="K17" s="2"/>
      <c r="N17"/>
      <c r="Q17" s="2"/>
      <c r="R17" s="2"/>
      <c r="U17" s="3"/>
      <c r="V17" s="3"/>
      <c r="W17" s="3"/>
      <c r="X17" s="3"/>
      <c r="Y17" s="3"/>
      <c r="AC17" s="2"/>
      <c r="AD17" s="2"/>
      <c r="AE17" s="2"/>
    </row>
    <row r="18" spans="1:31" ht="15.75" customHeight="1">
      <c r="A18" s="6" t="s">
        <v>4</v>
      </c>
      <c r="B18" s="9">
        <f>SUM(P24:P123)</f>
        <v>0</v>
      </c>
      <c r="C18" s="103" t="s">
        <v>148</v>
      </c>
      <c r="D18" s="104"/>
      <c r="E18" s="19"/>
      <c r="F18" s="100"/>
      <c r="G18" s="100"/>
      <c r="H18" s="3"/>
      <c r="I18" s="23"/>
      <c r="K18" s="2"/>
      <c r="N18"/>
      <c r="Q18" s="2"/>
      <c r="R18" s="2"/>
      <c r="U18" s="3"/>
      <c r="V18" s="3"/>
      <c r="W18" s="3"/>
      <c r="X18" s="3"/>
      <c r="Y18" s="3"/>
      <c r="AC18" s="2"/>
      <c r="AD18" s="2"/>
      <c r="AE18" s="2"/>
    </row>
    <row r="19" spans="1:31" ht="15.75" customHeight="1">
      <c r="A19" s="6" t="s">
        <v>5</v>
      </c>
      <c r="B19" s="9">
        <f>SUM(Q24:Q123)</f>
        <v>0</v>
      </c>
      <c r="C19" s="103"/>
      <c r="D19" s="104"/>
      <c r="E19" s="19"/>
      <c r="F19" s="100"/>
      <c r="G19" s="100"/>
      <c r="H19" s="3"/>
      <c r="I19" s="23"/>
      <c r="K19" s="2"/>
      <c r="N19"/>
      <c r="Q19" s="2"/>
      <c r="R19" s="2"/>
      <c r="U19" s="3"/>
      <c r="V19" s="3"/>
      <c r="W19" s="3"/>
      <c r="X19" s="3"/>
      <c r="Y19" s="3"/>
      <c r="AC19" s="2"/>
      <c r="AD19" s="2"/>
      <c r="AE19" s="2"/>
    </row>
    <row r="20" spans="1:31" ht="15.75" customHeight="1">
      <c r="A20" s="6" t="s">
        <v>6</v>
      </c>
      <c r="B20" s="10">
        <f>IF(B18&gt;0,B19/B18,"")</f>
      </c>
      <c r="C20" s="34" t="e">
        <f>100%-B20</f>
        <v>#VALUE!</v>
      </c>
      <c r="D20" s="33"/>
      <c r="E20" s="20"/>
      <c r="F20" s="20"/>
      <c r="G20" s="3"/>
      <c r="H20" s="3"/>
      <c r="I20" s="23"/>
      <c r="K20" s="2"/>
      <c r="N20"/>
      <c r="Q20" s="2"/>
      <c r="R20" s="2"/>
      <c r="U20" s="3"/>
      <c r="V20" s="3"/>
      <c r="W20" s="3"/>
      <c r="X20" s="3"/>
      <c r="Y20" s="3"/>
      <c r="AC20" s="2"/>
      <c r="AD20" s="2"/>
      <c r="AE20" s="2"/>
    </row>
    <row r="21" spans="1:32" ht="15.75" customHeight="1">
      <c r="A21" s="35" t="s">
        <v>153</v>
      </c>
      <c r="B21" s="98" t="s">
        <v>150</v>
      </c>
      <c r="C21" s="98"/>
      <c r="D21" s="98"/>
      <c r="E21" s="98"/>
      <c r="F21" s="98"/>
      <c r="G21" s="98"/>
      <c r="H21" s="3"/>
      <c r="I21" s="3"/>
      <c r="R21" s="2"/>
      <c r="S21" s="2"/>
      <c r="V21" s="3"/>
      <c r="W21" s="3"/>
      <c r="X21" s="3"/>
      <c r="Y21" s="3"/>
      <c r="Z21" s="3"/>
      <c r="AD21" s="2"/>
      <c r="AE21" s="2"/>
      <c r="AF21" s="2"/>
    </row>
    <row r="22" spans="1:32" ht="15.75" customHeight="1">
      <c r="A22" s="35" t="s">
        <v>154</v>
      </c>
      <c r="B22" s="99"/>
      <c r="C22" s="99"/>
      <c r="D22" s="99"/>
      <c r="E22" s="99"/>
      <c r="F22" s="99"/>
      <c r="G22" s="99"/>
      <c r="H22" s="3"/>
      <c r="I22" s="3"/>
      <c r="R22" s="2"/>
      <c r="S22" s="2"/>
      <c r="V22" s="3"/>
      <c r="W22" s="3"/>
      <c r="X22" s="3"/>
      <c r="Y22" s="3"/>
      <c r="Z22" s="3"/>
      <c r="AD22" s="2"/>
      <c r="AE22" s="2"/>
      <c r="AF22" s="2"/>
    </row>
    <row r="23" spans="1:33" ht="43.5" customHeight="1">
      <c r="A23" s="11" t="s">
        <v>7</v>
      </c>
      <c r="B23" s="80" t="s">
        <v>138</v>
      </c>
      <c r="C23" s="22" t="s">
        <v>137</v>
      </c>
      <c r="D23" s="22" t="s">
        <v>140</v>
      </c>
      <c r="E23" s="22" t="s">
        <v>139</v>
      </c>
      <c r="F23" s="22" t="s">
        <v>141</v>
      </c>
      <c r="G23" s="22" t="s">
        <v>144</v>
      </c>
      <c r="H23" s="13" t="s">
        <v>8</v>
      </c>
      <c r="I23" s="12" t="s">
        <v>9</v>
      </c>
      <c r="J23" s="14" t="s">
        <v>136</v>
      </c>
      <c r="K23" s="14" t="s">
        <v>135</v>
      </c>
      <c r="L23" s="14" t="s">
        <v>132</v>
      </c>
      <c r="M23" s="14" t="s">
        <v>133</v>
      </c>
      <c r="N23" s="14" t="s">
        <v>134</v>
      </c>
      <c r="O23" s="14" t="s">
        <v>10</v>
      </c>
      <c r="P23" s="14" t="s">
        <v>11</v>
      </c>
      <c r="Q23" s="14" t="s">
        <v>12</v>
      </c>
      <c r="R23" s="14" t="s">
        <v>13</v>
      </c>
      <c r="S23" s="14" t="s">
        <v>14</v>
      </c>
      <c r="T23" s="14" t="s">
        <v>15</v>
      </c>
      <c r="U23" s="14" t="s">
        <v>16</v>
      </c>
      <c r="V23" s="3" t="s">
        <v>17</v>
      </c>
      <c r="W23" s="3" t="s">
        <v>170</v>
      </c>
      <c r="X23" s="65" t="s">
        <v>171</v>
      </c>
      <c r="Y23" s="65" t="s">
        <v>173</v>
      </c>
      <c r="AB23" s="3" t="s">
        <v>161</v>
      </c>
      <c r="AC23" s="3" t="s">
        <v>162</v>
      </c>
      <c r="AD23" s="3"/>
      <c r="AE23" s="19" t="s">
        <v>163</v>
      </c>
      <c r="AF23" s="19" t="s">
        <v>375</v>
      </c>
      <c r="AG23" s="19" t="s">
        <v>374</v>
      </c>
    </row>
    <row r="24" spans="1:32" s="17" customFormat="1" ht="31.5" customHeight="1">
      <c r="A24" s="75" t="s">
        <v>18</v>
      </c>
      <c r="B24" s="81"/>
      <c r="C24" s="79"/>
      <c r="D24" s="51"/>
      <c r="E24" s="51"/>
      <c r="F24" s="51"/>
      <c r="G24" s="51"/>
      <c r="H24" s="52">
        <f aca="true" t="shared" si="0" ref="H24:H55">P24</f>
        <v>0</v>
      </c>
      <c r="I24" s="52">
        <f aca="true" t="shared" si="1" ref="I24:I55">Q24</f>
        <v>0</v>
      </c>
      <c r="J24" s="53">
        <f>D24*R24</f>
        <v>0</v>
      </c>
      <c r="K24" s="54">
        <f>C24*28.3495</f>
        <v>0</v>
      </c>
      <c r="L24" s="55">
        <f>E24*100</f>
        <v>0</v>
      </c>
      <c r="M24" s="55">
        <f>F24*300</f>
        <v>0</v>
      </c>
      <c r="N24" s="55">
        <f>G24*120</f>
        <v>0</v>
      </c>
      <c r="O24" s="53">
        <f>B24+SUM(J24:N24)</f>
        <v>0</v>
      </c>
      <c r="P24" s="54">
        <f>S24*O24</f>
        <v>0</v>
      </c>
      <c r="Q24" s="54">
        <f>P24*U24</f>
        <v>0</v>
      </c>
      <c r="R24" s="15">
        <v>1</v>
      </c>
      <c r="S24" s="17">
        <f>16/1000</f>
        <v>0.016</v>
      </c>
      <c r="T24" s="57">
        <f aca="true" t="shared" si="2" ref="T24:T85">S24*100</f>
        <v>1.6</v>
      </c>
      <c r="U24" s="15">
        <v>1</v>
      </c>
      <c r="V24" s="17" t="s">
        <v>164</v>
      </c>
      <c r="W24" s="58" t="s">
        <v>172</v>
      </c>
      <c r="X24" s="17" t="s">
        <v>174</v>
      </c>
      <c r="AB24" s="58" t="s">
        <v>19</v>
      </c>
      <c r="AC24" s="56">
        <f>15/1000</f>
        <v>0.015</v>
      </c>
      <c r="AD24" s="58"/>
      <c r="AE24" s="17">
        <f>16/1000</f>
        <v>0.016</v>
      </c>
      <c r="AF24" s="58" t="s">
        <v>172</v>
      </c>
    </row>
    <row r="25" spans="1:32" s="17" customFormat="1" ht="31.5" customHeight="1">
      <c r="A25" s="76" t="s">
        <v>20</v>
      </c>
      <c r="B25" s="81"/>
      <c r="C25" s="79"/>
      <c r="D25" s="51"/>
      <c r="E25" s="51"/>
      <c r="F25" s="51"/>
      <c r="G25" s="51"/>
      <c r="H25" s="52">
        <f t="shared" si="0"/>
        <v>0</v>
      </c>
      <c r="I25" s="52">
        <f t="shared" si="1"/>
        <v>0</v>
      </c>
      <c r="J25" s="53">
        <f aca="true" t="shared" si="3" ref="J25:J88">D25*R25</f>
        <v>0</v>
      </c>
      <c r="K25" s="54">
        <f aca="true" t="shared" si="4" ref="K25:K88">C25*28.3495</f>
        <v>0</v>
      </c>
      <c r="L25" s="55">
        <f aca="true" t="shared" si="5" ref="L25:L88">E25*100</f>
        <v>0</v>
      </c>
      <c r="M25" s="55">
        <f aca="true" t="shared" si="6" ref="M25:M88">F25*300</f>
        <v>0</v>
      </c>
      <c r="N25" s="55">
        <f aca="true" t="shared" si="7" ref="N25:N88">G25*120</f>
        <v>0</v>
      </c>
      <c r="O25" s="53">
        <f aca="true" t="shared" si="8" ref="O25:O88">B25+SUM(J25:N25)</f>
        <v>0</v>
      </c>
      <c r="P25" s="54">
        <f aca="true" t="shared" si="9" ref="P25:P88">S25*O25</f>
        <v>0</v>
      </c>
      <c r="Q25" s="54">
        <f aca="true" t="shared" si="10" ref="Q25:Q88">P25*U25</f>
        <v>0</v>
      </c>
      <c r="S25" s="56">
        <f>0.51/100</f>
        <v>0.0051</v>
      </c>
      <c r="T25" s="57">
        <f t="shared" si="2"/>
        <v>0.51</v>
      </c>
      <c r="U25" s="17">
        <v>0</v>
      </c>
      <c r="V25" s="17" t="s">
        <v>175</v>
      </c>
      <c r="W25" s="58" t="s">
        <v>176</v>
      </c>
      <c r="X25" s="17" t="s">
        <v>177</v>
      </c>
      <c r="AB25" s="58" t="s">
        <v>22</v>
      </c>
      <c r="AC25" s="56">
        <f>0.498/100</f>
        <v>0.00498</v>
      </c>
      <c r="AD25" s="58"/>
      <c r="AE25" s="56">
        <f>0.51/100</f>
        <v>0.0051</v>
      </c>
      <c r="AF25" s="58" t="s">
        <v>176</v>
      </c>
    </row>
    <row r="26" spans="1:32" s="17" customFormat="1" ht="31.5" customHeight="1">
      <c r="A26" s="75" t="s">
        <v>21</v>
      </c>
      <c r="B26" s="81"/>
      <c r="C26" s="79"/>
      <c r="D26" s="51"/>
      <c r="E26" s="51"/>
      <c r="F26" s="51"/>
      <c r="G26" s="51"/>
      <c r="H26" s="52">
        <f t="shared" si="0"/>
        <v>0</v>
      </c>
      <c r="I26" s="52">
        <f t="shared" si="1"/>
        <v>0</v>
      </c>
      <c r="J26" s="53">
        <f t="shared" si="3"/>
        <v>0</v>
      </c>
      <c r="K26" s="54">
        <f t="shared" si="4"/>
        <v>0</v>
      </c>
      <c r="L26" s="55">
        <f t="shared" si="5"/>
        <v>0</v>
      </c>
      <c r="M26" s="55">
        <f t="shared" si="6"/>
        <v>0</v>
      </c>
      <c r="N26" s="55">
        <f t="shared" si="7"/>
        <v>0</v>
      </c>
      <c r="O26" s="53">
        <f t="shared" si="8"/>
        <v>0</v>
      </c>
      <c r="P26" s="54">
        <f t="shared" si="9"/>
        <v>0</v>
      </c>
      <c r="Q26" s="54">
        <f t="shared" si="10"/>
        <v>0</v>
      </c>
      <c r="R26" s="15">
        <v>200</v>
      </c>
      <c r="S26" s="56">
        <f>2.25/1000</f>
        <v>0.00225</v>
      </c>
      <c r="T26" s="57">
        <f t="shared" si="2"/>
        <v>0.22499999999999998</v>
      </c>
      <c r="U26" s="15">
        <v>1</v>
      </c>
      <c r="V26" s="17" t="s">
        <v>178</v>
      </c>
      <c r="W26" s="58" t="s">
        <v>179</v>
      </c>
      <c r="AB26" s="58" t="s">
        <v>24</v>
      </c>
      <c r="AC26" s="56">
        <f>1.86/1000</f>
        <v>0.00186</v>
      </c>
      <c r="AD26" s="58"/>
      <c r="AE26" s="17">
        <f>4.75/1200</f>
        <v>0.003958333333333334</v>
      </c>
      <c r="AF26" s="17" t="s">
        <v>368</v>
      </c>
    </row>
    <row r="27" spans="1:32" s="17" customFormat="1" ht="31.5" customHeight="1">
      <c r="A27" s="75" t="s">
        <v>25</v>
      </c>
      <c r="B27" s="81"/>
      <c r="C27" s="79"/>
      <c r="D27" s="51"/>
      <c r="E27" s="51"/>
      <c r="F27" s="51"/>
      <c r="G27" s="51"/>
      <c r="H27" s="52">
        <f t="shared" si="0"/>
        <v>0</v>
      </c>
      <c r="I27" s="52">
        <f t="shared" si="1"/>
        <v>0</v>
      </c>
      <c r="J27" s="53">
        <f t="shared" si="3"/>
        <v>0</v>
      </c>
      <c r="K27" s="54">
        <f t="shared" si="4"/>
        <v>0</v>
      </c>
      <c r="L27" s="55">
        <f t="shared" si="5"/>
        <v>0</v>
      </c>
      <c r="M27" s="55">
        <f t="shared" si="6"/>
        <v>0</v>
      </c>
      <c r="N27" s="55">
        <f t="shared" si="7"/>
        <v>0</v>
      </c>
      <c r="O27" s="53">
        <f t="shared" si="8"/>
        <v>0</v>
      </c>
      <c r="P27" s="54">
        <f t="shared" si="9"/>
        <v>0</v>
      </c>
      <c r="Q27" s="54">
        <f t="shared" si="10"/>
        <v>0</v>
      </c>
      <c r="R27" s="15">
        <v>100</v>
      </c>
      <c r="S27" s="56">
        <f>0.333/100</f>
        <v>0.00333</v>
      </c>
      <c r="T27" s="57">
        <f t="shared" si="2"/>
        <v>0.333</v>
      </c>
      <c r="U27" s="15">
        <v>1</v>
      </c>
      <c r="V27" s="17" t="s">
        <v>180</v>
      </c>
      <c r="W27" s="58" t="s">
        <v>181</v>
      </c>
      <c r="AB27" s="58" t="s">
        <v>24</v>
      </c>
      <c r="AC27" s="56">
        <f>2/1000</f>
        <v>0.002</v>
      </c>
      <c r="AD27" s="58"/>
      <c r="AE27" s="17">
        <f>0.625/100</f>
        <v>0.00625</v>
      </c>
      <c r="AF27" s="17" t="s">
        <v>367</v>
      </c>
    </row>
    <row r="28" spans="1:32" s="17" customFormat="1" ht="31.5" customHeight="1">
      <c r="A28" s="76" t="s">
        <v>26</v>
      </c>
      <c r="B28" s="81"/>
      <c r="C28" s="79"/>
      <c r="D28" s="51"/>
      <c r="E28" s="51"/>
      <c r="F28" s="51"/>
      <c r="G28" s="51"/>
      <c r="H28" s="52">
        <f t="shared" si="0"/>
        <v>0</v>
      </c>
      <c r="I28" s="52">
        <f t="shared" si="1"/>
        <v>0</v>
      </c>
      <c r="J28" s="53">
        <f t="shared" si="3"/>
        <v>0</v>
      </c>
      <c r="K28" s="54">
        <f t="shared" si="4"/>
        <v>0</v>
      </c>
      <c r="L28" s="55">
        <f t="shared" si="5"/>
        <v>0</v>
      </c>
      <c r="M28" s="55">
        <f t="shared" si="6"/>
        <v>0</v>
      </c>
      <c r="N28" s="55">
        <f t="shared" si="7"/>
        <v>0</v>
      </c>
      <c r="O28" s="53">
        <f t="shared" si="8"/>
        <v>0</v>
      </c>
      <c r="P28" s="54">
        <f t="shared" si="9"/>
        <v>0</v>
      </c>
      <c r="Q28" s="54">
        <f t="shared" si="10"/>
        <v>0</v>
      </c>
      <c r="R28" s="17">
        <v>30</v>
      </c>
      <c r="S28" s="56">
        <f>8.75/1000</f>
        <v>0.00875</v>
      </c>
      <c r="T28" s="57">
        <f t="shared" si="2"/>
        <v>0.8750000000000001</v>
      </c>
      <c r="U28" s="17">
        <v>0.75</v>
      </c>
      <c r="V28" s="17" t="s">
        <v>183</v>
      </c>
      <c r="W28" s="58" t="s">
        <v>182</v>
      </c>
      <c r="X28" s="17" t="s">
        <v>184</v>
      </c>
      <c r="AB28" s="58" t="s">
        <v>19</v>
      </c>
      <c r="AC28" s="56">
        <f>0.625/100</f>
        <v>0.00625</v>
      </c>
      <c r="AD28" s="58"/>
      <c r="AE28" s="17">
        <f>3.75/400</f>
        <v>0.009375</v>
      </c>
      <c r="AF28" s="17" t="s">
        <v>369</v>
      </c>
    </row>
    <row r="29" spans="1:32" s="17" customFormat="1" ht="31.5" customHeight="1">
      <c r="A29" s="76" t="s">
        <v>27</v>
      </c>
      <c r="B29" s="81"/>
      <c r="C29" s="79"/>
      <c r="D29" s="51"/>
      <c r="E29" s="51"/>
      <c r="F29" s="51"/>
      <c r="G29" s="51"/>
      <c r="H29" s="52">
        <f t="shared" si="0"/>
        <v>0</v>
      </c>
      <c r="I29" s="52">
        <f t="shared" si="1"/>
        <v>0</v>
      </c>
      <c r="J29" s="53">
        <f t="shared" si="3"/>
        <v>0</v>
      </c>
      <c r="K29" s="54">
        <f t="shared" si="4"/>
        <v>0</v>
      </c>
      <c r="L29" s="55">
        <f t="shared" si="5"/>
        <v>0</v>
      </c>
      <c r="M29" s="55">
        <f t="shared" si="6"/>
        <v>0</v>
      </c>
      <c r="N29" s="55">
        <f t="shared" si="7"/>
        <v>0</v>
      </c>
      <c r="O29" s="53">
        <f t="shared" si="8"/>
        <v>0</v>
      </c>
      <c r="P29" s="54">
        <f t="shared" si="9"/>
        <v>0</v>
      </c>
      <c r="Q29" s="54">
        <f t="shared" si="10"/>
        <v>0</v>
      </c>
      <c r="R29" s="17">
        <v>116</v>
      </c>
      <c r="S29" s="56">
        <f>2/116</f>
        <v>0.017241379310344827</v>
      </c>
      <c r="T29" s="57">
        <f t="shared" si="2"/>
        <v>1.7241379310344827</v>
      </c>
      <c r="U29" s="17">
        <v>0</v>
      </c>
      <c r="V29" s="17" t="s">
        <v>183</v>
      </c>
      <c r="W29" s="58" t="s">
        <v>370</v>
      </c>
      <c r="X29" s="17" t="s">
        <v>185</v>
      </c>
      <c r="Y29" s="17" t="s">
        <v>186</v>
      </c>
      <c r="AB29" s="58" t="s">
        <v>19</v>
      </c>
      <c r="AC29" s="56">
        <f>2/200</f>
        <v>0.01</v>
      </c>
      <c r="AD29" s="58"/>
      <c r="AE29" s="17">
        <f>(3.6/2)/116</f>
        <v>0.015517241379310345</v>
      </c>
      <c r="AF29" s="17" t="s">
        <v>371</v>
      </c>
    </row>
    <row r="30" spans="1:32" s="17" customFormat="1" ht="31.5" customHeight="1">
      <c r="A30" s="76" t="s">
        <v>28</v>
      </c>
      <c r="B30" s="81"/>
      <c r="C30" s="79"/>
      <c r="D30" s="51"/>
      <c r="E30" s="51"/>
      <c r="F30" s="51"/>
      <c r="G30" s="51"/>
      <c r="H30" s="52">
        <f t="shared" si="0"/>
        <v>0</v>
      </c>
      <c r="I30" s="52">
        <f t="shared" si="1"/>
        <v>0</v>
      </c>
      <c r="J30" s="53">
        <f t="shared" si="3"/>
        <v>0</v>
      </c>
      <c r="K30" s="54">
        <f t="shared" si="4"/>
        <v>0</v>
      </c>
      <c r="L30" s="55">
        <f t="shared" si="5"/>
        <v>0</v>
      </c>
      <c r="M30" s="55">
        <f t="shared" si="6"/>
        <v>0</v>
      </c>
      <c r="N30" s="55">
        <f t="shared" si="7"/>
        <v>0</v>
      </c>
      <c r="O30" s="53">
        <f t="shared" si="8"/>
        <v>0</v>
      </c>
      <c r="P30" s="54">
        <f t="shared" si="9"/>
        <v>0</v>
      </c>
      <c r="Q30" s="54">
        <f t="shared" si="10"/>
        <v>0</v>
      </c>
      <c r="R30" s="17">
        <v>30</v>
      </c>
      <c r="S30" s="56">
        <f>8.27/1000</f>
        <v>0.00827</v>
      </c>
      <c r="T30" s="57">
        <f t="shared" si="2"/>
        <v>0.827</v>
      </c>
      <c r="U30" s="17">
        <v>0</v>
      </c>
      <c r="V30" s="17" t="s">
        <v>164</v>
      </c>
      <c r="W30" s="58" t="s">
        <v>187</v>
      </c>
      <c r="AB30" s="58" t="s">
        <v>19</v>
      </c>
      <c r="AC30" s="56">
        <f>8.7/1000</f>
        <v>0.0087</v>
      </c>
      <c r="AD30" s="58"/>
      <c r="AE30" s="17">
        <f>13.75/1000</f>
        <v>0.01375</v>
      </c>
      <c r="AF30" s="17" t="s">
        <v>188</v>
      </c>
    </row>
    <row r="31" spans="1:32" s="17" customFormat="1" ht="31.5" customHeight="1">
      <c r="A31" s="76" t="s">
        <v>29</v>
      </c>
      <c r="B31" s="81"/>
      <c r="C31" s="79"/>
      <c r="D31" s="51"/>
      <c r="E31" s="51"/>
      <c r="F31" s="51"/>
      <c r="G31" s="51"/>
      <c r="H31" s="52">
        <f t="shared" si="0"/>
        <v>0</v>
      </c>
      <c r="I31" s="52">
        <f t="shared" si="1"/>
        <v>0</v>
      </c>
      <c r="J31" s="53">
        <f t="shared" si="3"/>
        <v>0</v>
      </c>
      <c r="K31" s="54">
        <f t="shared" si="4"/>
        <v>0</v>
      </c>
      <c r="L31" s="55">
        <f t="shared" si="5"/>
        <v>0</v>
      </c>
      <c r="M31" s="55">
        <f t="shared" si="6"/>
        <v>0</v>
      </c>
      <c r="N31" s="55">
        <f t="shared" si="7"/>
        <v>0</v>
      </c>
      <c r="O31" s="53">
        <f t="shared" si="8"/>
        <v>0</v>
      </c>
      <c r="P31" s="54">
        <f t="shared" si="9"/>
        <v>0</v>
      </c>
      <c r="Q31" s="54">
        <f t="shared" si="10"/>
        <v>0</v>
      </c>
      <c r="R31" s="17">
        <v>100</v>
      </c>
      <c r="S31" s="56">
        <f>0.85/100</f>
        <v>0.0085</v>
      </c>
      <c r="T31" s="57">
        <f t="shared" si="2"/>
        <v>0.8500000000000001</v>
      </c>
      <c r="U31" s="17">
        <v>0.25</v>
      </c>
      <c r="V31" s="17" t="s">
        <v>189</v>
      </c>
      <c r="W31" s="58" t="s">
        <v>190</v>
      </c>
      <c r="AB31" s="58" t="s">
        <v>30</v>
      </c>
      <c r="AC31" s="56">
        <f>0.8/100</f>
        <v>0.008</v>
      </c>
      <c r="AD31" s="58"/>
      <c r="AE31" s="17">
        <f>1.6/100</f>
        <v>0.016</v>
      </c>
      <c r="AF31" s="17" t="s">
        <v>191</v>
      </c>
    </row>
    <row r="32" spans="1:32" s="17" customFormat="1" ht="31.5" customHeight="1">
      <c r="A32" s="75" t="s">
        <v>31</v>
      </c>
      <c r="B32" s="81"/>
      <c r="C32" s="79"/>
      <c r="D32" s="51"/>
      <c r="E32" s="51"/>
      <c r="F32" s="51"/>
      <c r="G32" s="51"/>
      <c r="H32" s="52">
        <f t="shared" si="0"/>
        <v>0</v>
      </c>
      <c r="I32" s="52">
        <f t="shared" si="1"/>
        <v>0</v>
      </c>
      <c r="J32" s="53">
        <f t="shared" si="3"/>
        <v>0</v>
      </c>
      <c r="K32" s="54">
        <f t="shared" si="4"/>
        <v>0</v>
      </c>
      <c r="L32" s="55">
        <f t="shared" si="5"/>
        <v>0</v>
      </c>
      <c r="M32" s="55">
        <f t="shared" si="6"/>
        <v>0</v>
      </c>
      <c r="N32" s="55">
        <f t="shared" si="7"/>
        <v>0</v>
      </c>
      <c r="O32" s="53">
        <f t="shared" si="8"/>
        <v>0</v>
      </c>
      <c r="P32" s="54">
        <f t="shared" si="9"/>
        <v>0</v>
      </c>
      <c r="Q32" s="54">
        <f t="shared" si="10"/>
        <v>0</v>
      </c>
      <c r="R32" s="15">
        <v>100</v>
      </c>
      <c r="S32" s="56">
        <f>2/500</f>
        <v>0.004</v>
      </c>
      <c r="T32" s="57">
        <f t="shared" si="2"/>
        <v>0.4</v>
      </c>
      <c r="U32" s="17">
        <v>0</v>
      </c>
      <c r="V32" s="17" t="s">
        <v>192</v>
      </c>
      <c r="W32" s="58" t="s">
        <v>193</v>
      </c>
      <c r="Y32" s="17" t="s">
        <v>195</v>
      </c>
      <c r="AB32" s="58" t="s">
        <v>19</v>
      </c>
      <c r="AC32" s="56">
        <f>1.8/500</f>
        <v>0.0036</v>
      </c>
      <c r="AD32" s="58"/>
      <c r="AE32" s="17">
        <f>4.4/1000</f>
        <v>0.0044</v>
      </c>
      <c r="AF32" s="17" t="s">
        <v>194</v>
      </c>
    </row>
    <row r="33" spans="1:32" s="17" customFormat="1" ht="31.5" customHeight="1">
      <c r="A33" s="75" t="s">
        <v>32</v>
      </c>
      <c r="B33" s="81"/>
      <c r="C33" s="79"/>
      <c r="D33" s="51"/>
      <c r="E33" s="51"/>
      <c r="F33" s="51"/>
      <c r="G33" s="51"/>
      <c r="H33" s="52">
        <f t="shared" si="0"/>
        <v>0</v>
      </c>
      <c r="I33" s="52">
        <f t="shared" si="1"/>
        <v>0</v>
      </c>
      <c r="J33" s="53">
        <f t="shared" si="3"/>
        <v>0</v>
      </c>
      <c r="K33" s="54">
        <f t="shared" si="4"/>
        <v>0</v>
      </c>
      <c r="L33" s="55">
        <f t="shared" si="5"/>
        <v>0</v>
      </c>
      <c r="M33" s="55">
        <f t="shared" si="6"/>
        <v>0</v>
      </c>
      <c r="N33" s="55">
        <f t="shared" si="7"/>
        <v>0</v>
      </c>
      <c r="O33" s="53">
        <f t="shared" si="8"/>
        <v>0</v>
      </c>
      <c r="P33" s="54">
        <f t="shared" si="9"/>
        <v>0</v>
      </c>
      <c r="Q33" s="54">
        <f t="shared" si="10"/>
        <v>0</v>
      </c>
      <c r="R33" s="15">
        <v>1</v>
      </c>
      <c r="S33" s="66">
        <f>13.34/1000</f>
        <v>0.01334</v>
      </c>
      <c r="T33" s="57">
        <f t="shared" si="2"/>
        <v>1.3339999999999999</v>
      </c>
      <c r="U33" s="15">
        <v>0.6</v>
      </c>
      <c r="V33" s="17" t="s">
        <v>196</v>
      </c>
      <c r="W33" s="58" t="s">
        <v>197</v>
      </c>
      <c r="AB33" s="58" t="s">
        <v>34</v>
      </c>
      <c r="AC33" s="56">
        <f>2/150</f>
        <v>0.013333333333333334</v>
      </c>
      <c r="AD33" s="58"/>
      <c r="AE33" s="17">
        <f>20/1000</f>
        <v>0.02</v>
      </c>
      <c r="AF33" s="17" t="s">
        <v>198</v>
      </c>
    </row>
    <row r="34" spans="1:32" s="17" customFormat="1" ht="31.5" customHeight="1">
      <c r="A34" s="75" t="s">
        <v>35</v>
      </c>
      <c r="B34" s="81"/>
      <c r="C34" s="79"/>
      <c r="D34" s="51"/>
      <c r="E34" s="51"/>
      <c r="F34" s="51"/>
      <c r="G34" s="51"/>
      <c r="H34" s="52">
        <f t="shared" si="0"/>
        <v>0</v>
      </c>
      <c r="I34" s="52">
        <f t="shared" si="1"/>
        <v>0</v>
      </c>
      <c r="J34" s="53">
        <f t="shared" si="3"/>
        <v>0</v>
      </c>
      <c r="K34" s="54">
        <f t="shared" si="4"/>
        <v>0</v>
      </c>
      <c r="L34" s="55">
        <f t="shared" si="5"/>
        <v>0</v>
      </c>
      <c r="M34" s="55">
        <f t="shared" si="6"/>
        <v>0</v>
      </c>
      <c r="N34" s="55">
        <f t="shared" si="7"/>
        <v>0</v>
      </c>
      <c r="O34" s="53">
        <f t="shared" si="8"/>
        <v>0</v>
      </c>
      <c r="P34" s="54">
        <f t="shared" si="9"/>
        <v>0</v>
      </c>
      <c r="Q34" s="54">
        <f t="shared" si="10"/>
        <v>0</v>
      </c>
      <c r="R34" s="15">
        <v>4</v>
      </c>
      <c r="S34" s="56">
        <f>13.4/1000</f>
        <v>0.0134</v>
      </c>
      <c r="T34" s="57">
        <f t="shared" si="2"/>
        <v>1.34</v>
      </c>
      <c r="U34" s="15">
        <v>0.3</v>
      </c>
      <c r="V34" s="17" t="s">
        <v>199</v>
      </c>
      <c r="W34" s="58" t="s">
        <v>200</v>
      </c>
      <c r="X34" s="17" t="s">
        <v>202</v>
      </c>
      <c r="AB34" s="58" t="s">
        <v>33</v>
      </c>
      <c r="AC34" s="56">
        <f>2.5/150</f>
        <v>0.016666666666666666</v>
      </c>
      <c r="AD34" s="58"/>
      <c r="AE34" s="17">
        <f>3.16/100</f>
        <v>0.0316</v>
      </c>
      <c r="AF34" s="17" t="s">
        <v>198</v>
      </c>
    </row>
    <row r="35" spans="1:32" s="17" customFormat="1" ht="31.5" customHeight="1">
      <c r="A35" s="75" t="s">
        <v>36</v>
      </c>
      <c r="B35" s="81"/>
      <c r="C35" s="79"/>
      <c r="D35" s="51"/>
      <c r="E35" s="51"/>
      <c r="F35" s="51"/>
      <c r="G35" s="51"/>
      <c r="H35" s="52">
        <f t="shared" si="0"/>
        <v>0</v>
      </c>
      <c r="I35" s="52">
        <f t="shared" si="1"/>
        <v>0</v>
      </c>
      <c r="J35" s="53">
        <f t="shared" si="3"/>
        <v>0</v>
      </c>
      <c r="K35" s="54">
        <f t="shared" si="4"/>
        <v>0</v>
      </c>
      <c r="L35" s="55">
        <f t="shared" si="5"/>
        <v>0</v>
      </c>
      <c r="M35" s="55">
        <f t="shared" si="6"/>
        <v>0</v>
      </c>
      <c r="N35" s="55">
        <f t="shared" si="7"/>
        <v>0</v>
      </c>
      <c r="O35" s="53">
        <f t="shared" si="8"/>
        <v>0</v>
      </c>
      <c r="P35" s="54">
        <f t="shared" si="9"/>
        <v>0</v>
      </c>
      <c r="Q35" s="54">
        <f t="shared" si="10"/>
        <v>0</v>
      </c>
      <c r="R35" s="15">
        <v>1</v>
      </c>
      <c r="S35" s="17">
        <f>2.3/125</f>
        <v>0.0184</v>
      </c>
      <c r="T35" s="57">
        <f t="shared" si="2"/>
        <v>1.8399999999999999</v>
      </c>
      <c r="U35" s="15">
        <v>0.9</v>
      </c>
      <c r="V35" s="17" t="s">
        <v>204</v>
      </c>
      <c r="W35" s="17" t="s">
        <v>203</v>
      </c>
      <c r="X35" s="17" t="s">
        <v>205</v>
      </c>
      <c r="AB35" s="58" t="s">
        <v>30</v>
      </c>
      <c r="AC35" s="56">
        <f>1.75/150</f>
        <v>0.011666666666666667</v>
      </c>
      <c r="AD35" s="58"/>
      <c r="AE35" s="17">
        <f>2.3/125</f>
        <v>0.0184</v>
      </c>
      <c r="AF35" s="17" t="s">
        <v>203</v>
      </c>
    </row>
    <row r="36" spans="1:32" s="17" customFormat="1" ht="31.5" customHeight="1">
      <c r="A36" s="75" t="s">
        <v>37</v>
      </c>
      <c r="B36" s="81"/>
      <c r="C36" s="79"/>
      <c r="D36" s="51"/>
      <c r="E36" s="51"/>
      <c r="F36" s="51"/>
      <c r="G36" s="51"/>
      <c r="H36" s="52">
        <f t="shared" si="0"/>
        <v>0</v>
      </c>
      <c r="I36" s="52">
        <f t="shared" si="1"/>
        <v>0</v>
      </c>
      <c r="J36" s="53">
        <f t="shared" si="3"/>
        <v>0</v>
      </c>
      <c r="K36" s="54">
        <f t="shared" si="4"/>
        <v>0</v>
      </c>
      <c r="L36" s="55">
        <f t="shared" si="5"/>
        <v>0</v>
      </c>
      <c r="M36" s="55">
        <f t="shared" si="6"/>
        <v>0</v>
      </c>
      <c r="N36" s="55">
        <f t="shared" si="7"/>
        <v>0</v>
      </c>
      <c r="O36" s="53">
        <f t="shared" si="8"/>
        <v>0</v>
      </c>
      <c r="P36" s="54">
        <f t="shared" si="9"/>
        <v>0</v>
      </c>
      <c r="Q36" s="54">
        <f t="shared" si="10"/>
        <v>0</v>
      </c>
      <c r="R36" s="15">
        <v>1</v>
      </c>
      <c r="S36" s="66">
        <f>13.34/1000</f>
        <v>0.01334</v>
      </c>
      <c r="T36" s="57">
        <f t="shared" si="2"/>
        <v>1.3339999999999999</v>
      </c>
      <c r="U36" s="15">
        <v>0.25</v>
      </c>
      <c r="V36" s="17" t="s">
        <v>164</v>
      </c>
      <c r="W36" s="58" t="s">
        <v>197</v>
      </c>
      <c r="AB36" s="58" t="s">
        <v>19</v>
      </c>
      <c r="AC36" s="56">
        <f>2/150</f>
        <v>0.013333333333333334</v>
      </c>
      <c r="AD36" s="58"/>
      <c r="AE36" s="17">
        <f>20/1000</f>
        <v>0.02</v>
      </c>
      <c r="AF36" s="17" t="s">
        <v>198</v>
      </c>
    </row>
    <row r="37" spans="1:33" s="17" customFormat="1" ht="31.5" customHeight="1">
      <c r="A37" s="76" t="s">
        <v>38</v>
      </c>
      <c r="B37" s="81"/>
      <c r="C37" s="79"/>
      <c r="D37" s="51"/>
      <c r="E37" s="51"/>
      <c r="F37" s="51"/>
      <c r="G37" s="51"/>
      <c r="H37" s="52">
        <f t="shared" si="0"/>
        <v>0</v>
      </c>
      <c r="I37" s="52">
        <f t="shared" si="1"/>
        <v>0</v>
      </c>
      <c r="J37" s="53">
        <f t="shared" si="3"/>
        <v>0</v>
      </c>
      <c r="K37" s="54">
        <f t="shared" si="4"/>
        <v>0</v>
      </c>
      <c r="L37" s="55">
        <f t="shared" si="5"/>
        <v>0</v>
      </c>
      <c r="M37" s="55">
        <f t="shared" si="6"/>
        <v>0</v>
      </c>
      <c r="N37" s="55">
        <f t="shared" si="7"/>
        <v>0</v>
      </c>
      <c r="O37" s="53">
        <f t="shared" si="8"/>
        <v>0</v>
      </c>
      <c r="P37" s="54">
        <f t="shared" si="9"/>
        <v>0</v>
      </c>
      <c r="Q37" s="54">
        <f t="shared" si="10"/>
        <v>0</v>
      </c>
      <c r="R37" s="17">
        <v>1</v>
      </c>
      <c r="S37" s="56">
        <f>2.77/1000</f>
        <v>0.00277</v>
      </c>
      <c r="T37" s="57">
        <f t="shared" si="2"/>
        <v>0.27699999999999997</v>
      </c>
      <c r="U37" s="17">
        <v>0.1</v>
      </c>
      <c r="V37" s="17" t="s">
        <v>206</v>
      </c>
      <c r="W37" s="58" t="s">
        <v>207</v>
      </c>
      <c r="AB37" s="58" t="s">
        <v>39</v>
      </c>
      <c r="AC37" s="56">
        <f>2.47/1000</f>
        <v>0.0024700000000000004</v>
      </c>
      <c r="AD37" s="58"/>
      <c r="AE37" s="17">
        <f>5/1000</f>
        <v>0.005</v>
      </c>
      <c r="AF37" s="17" t="s">
        <v>208</v>
      </c>
      <c r="AG37" s="17" t="s">
        <v>209</v>
      </c>
    </row>
    <row r="38" spans="1:32" s="17" customFormat="1" ht="31.5" customHeight="1">
      <c r="A38" s="77" t="s">
        <v>40</v>
      </c>
      <c r="B38" s="81"/>
      <c r="C38" s="79"/>
      <c r="D38" s="51"/>
      <c r="E38" s="51"/>
      <c r="F38" s="51"/>
      <c r="G38" s="51"/>
      <c r="H38" s="52">
        <f t="shared" si="0"/>
        <v>0</v>
      </c>
      <c r="I38" s="52">
        <f t="shared" si="1"/>
        <v>0</v>
      </c>
      <c r="J38" s="53">
        <f t="shared" si="3"/>
        <v>0</v>
      </c>
      <c r="K38" s="54">
        <f t="shared" si="4"/>
        <v>0</v>
      </c>
      <c r="L38" s="55">
        <f t="shared" si="5"/>
        <v>0</v>
      </c>
      <c r="M38" s="55">
        <f t="shared" si="6"/>
        <v>0</v>
      </c>
      <c r="N38" s="55">
        <f t="shared" si="7"/>
        <v>0</v>
      </c>
      <c r="O38" s="53">
        <f t="shared" si="8"/>
        <v>0</v>
      </c>
      <c r="P38" s="54">
        <f t="shared" si="9"/>
        <v>0</v>
      </c>
      <c r="Q38" s="54">
        <f t="shared" si="10"/>
        <v>0</v>
      </c>
      <c r="R38" s="61">
        <v>4</v>
      </c>
      <c r="S38" s="17">
        <f>13.34/1000</f>
        <v>0.01334</v>
      </c>
      <c r="T38" s="57">
        <f t="shared" si="2"/>
        <v>1.3339999999999999</v>
      </c>
      <c r="U38" s="17">
        <v>0.3</v>
      </c>
      <c r="V38" s="17" t="s">
        <v>166</v>
      </c>
      <c r="W38" s="58" t="s">
        <v>210</v>
      </c>
      <c r="AB38" s="58" t="s">
        <v>41</v>
      </c>
      <c r="AC38" s="17">
        <f>13.34/1000</f>
        <v>0.01334</v>
      </c>
      <c r="AD38" s="58"/>
      <c r="AE38" s="17">
        <f>22/1000</f>
        <v>0.022</v>
      </c>
      <c r="AF38" s="17" t="s">
        <v>211</v>
      </c>
    </row>
    <row r="39" spans="1:32" s="17" customFormat="1" ht="31.5" customHeight="1">
      <c r="A39" s="76" t="s">
        <v>42</v>
      </c>
      <c r="B39" s="82"/>
      <c r="C39" s="79"/>
      <c r="D39" s="51"/>
      <c r="E39" s="51"/>
      <c r="F39" s="51"/>
      <c r="G39" s="51"/>
      <c r="H39" s="52">
        <f t="shared" si="0"/>
        <v>0</v>
      </c>
      <c r="I39" s="52">
        <f t="shared" si="1"/>
        <v>0</v>
      </c>
      <c r="J39" s="53">
        <f t="shared" si="3"/>
        <v>0</v>
      </c>
      <c r="K39" s="54">
        <f t="shared" si="4"/>
        <v>0</v>
      </c>
      <c r="L39" s="55">
        <f t="shared" si="5"/>
        <v>0</v>
      </c>
      <c r="M39" s="55">
        <f t="shared" si="6"/>
        <v>0</v>
      </c>
      <c r="N39" s="55">
        <f t="shared" si="7"/>
        <v>0</v>
      </c>
      <c r="O39" s="53">
        <f t="shared" si="8"/>
        <v>0</v>
      </c>
      <c r="P39" s="54">
        <f t="shared" si="9"/>
        <v>0</v>
      </c>
      <c r="Q39" s="54">
        <f t="shared" si="10"/>
        <v>0</v>
      </c>
      <c r="R39" s="17">
        <v>15</v>
      </c>
      <c r="S39" s="56">
        <f>4.5/1000</f>
        <v>0.0045</v>
      </c>
      <c r="T39" s="57">
        <f t="shared" si="2"/>
        <v>0.44999999999999996</v>
      </c>
      <c r="U39" s="17">
        <v>0.33</v>
      </c>
      <c r="V39" s="17" t="s">
        <v>212</v>
      </c>
      <c r="W39" s="58" t="s">
        <v>213</v>
      </c>
      <c r="AB39" s="58" t="s">
        <v>19</v>
      </c>
      <c r="AC39" s="56">
        <f>4.3/1000</f>
        <v>0.0043</v>
      </c>
      <c r="AD39" s="58"/>
      <c r="AE39" s="17">
        <f>6.08/1000</f>
        <v>0.00608</v>
      </c>
      <c r="AF39" s="17" t="s">
        <v>214</v>
      </c>
    </row>
    <row r="40" spans="1:32" s="17" customFormat="1" ht="31.5" customHeight="1">
      <c r="A40" s="76" t="s">
        <v>43</v>
      </c>
      <c r="B40" s="81"/>
      <c r="C40" s="79"/>
      <c r="D40" s="51"/>
      <c r="E40" s="51"/>
      <c r="F40" s="51"/>
      <c r="G40" s="51"/>
      <c r="H40" s="52">
        <f t="shared" si="0"/>
        <v>0</v>
      </c>
      <c r="I40" s="52">
        <f t="shared" si="1"/>
        <v>0</v>
      </c>
      <c r="J40" s="53">
        <f t="shared" si="3"/>
        <v>0</v>
      </c>
      <c r="K40" s="54">
        <f t="shared" si="4"/>
        <v>0</v>
      </c>
      <c r="L40" s="55">
        <f t="shared" si="5"/>
        <v>0</v>
      </c>
      <c r="M40" s="55">
        <f t="shared" si="6"/>
        <v>0</v>
      </c>
      <c r="N40" s="55">
        <f t="shared" si="7"/>
        <v>0</v>
      </c>
      <c r="O40" s="53">
        <f t="shared" si="8"/>
        <v>0</v>
      </c>
      <c r="P40" s="54">
        <f t="shared" si="9"/>
        <v>0</v>
      </c>
      <c r="Q40" s="54">
        <f t="shared" si="10"/>
        <v>0</v>
      </c>
      <c r="R40" s="17">
        <v>400</v>
      </c>
      <c r="S40" s="56">
        <f>1.89/1000</f>
        <v>0.00189</v>
      </c>
      <c r="T40" s="57">
        <f t="shared" si="2"/>
        <v>0.189</v>
      </c>
      <c r="U40" s="17">
        <v>0</v>
      </c>
      <c r="V40" s="17" t="s">
        <v>215</v>
      </c>
      <c r="W40" s="58" t="s">
        <v>216</v>
      </c>
      <c r="X40" s="17" t="s">
        <v>217</v>
      </c>
      <c r="AB40" s="58" t="s">
        <v>19</v>
      </c>
      <c r="AC40" s="56">
        <f>1.55/1000</f>
        <v>0.00155</v>
      </c>
      <c r="AD40" s="58"/>
      <c r="AE40" s="17">
        <f>4.29/1000</f>
        <v>0.00429</v>
      </c>
      <c r="AF40" s="58" t="s">
        <v>218</v>
      </c>
    </row>
    <row r="41" spans="1:32" s="17" customFormat="1" ht="31.5" customHeight="1">
      <c r="A41" s="76" t="s">
        <v>44</v>
      </c>
      <c r="B41" s="81"/>
      <c r="C41" s="79"/>
      <c r="D41" s="51"/>
      <c r="E41" s="51"/>
      <c r="F41" s="51"/>
      <c r="G41" s="51"/>
      <c r="H41" s="52">
        <f t="shared" si="0"/>
        <v>0</v>
      </c>
      <c r="I41" s="52">
        <f t="shared" si="1"/>
        <v>0</v>
      </c>
      <c r="J41" s="53">
        <f t="shared" si="3"/>
        <v>0</v>
      </c>
      <c r="K41" s="54">
        <f t="shared" si="4"/>
        <v>0</v>
      </c>
      <c r="L41" s="55">
        <f t="shared" si="5"/>
        <v>0</v>
      </c>
      <c r="M41" s="55">
        <f t="shared" si="6"/>
        <v>0</v>
      </c>
      <c r="N41" s="55">
        <f t="shared" si="7"/>
        <v>0</v>
      </c>
      <c r="O41" s="53">
        <f t="shared" si="8"/>
        <v>0</v>
      </c>
      <c r="P41" s="54">
        <f t="shared" si="9"/>
        <v>0</v>
      </c>
      <c r="Q41" s="54">
        <f t="shared" si="10"/>
        <v>0</v>
      </c>
      <c r="R41" s="17">
        <v>30</v>
      </c>
      <c r="S41" s="56">
        <f>8.67/1000</f>
        <v>0.00867</v>
      </c>
      <c r="T41" s="57">
        <f t="shared" si="2"/>
        <v>0.8670000000000001</v>
      </c>
      <c r="U41" s="17">
        <v>0</v>
      </c>
      <c r="V41" s="17" t="s">
        <v>164</v>
      </c>
      <c r="W41" s="58" t="s">
        <v>219</v>
      </c>
      <c r="AB41" s="58" t="s">
        <v>19</v>
      </c>
      <c r="AC41" s="56">
        <f>10/1000</f>
        <v>0.01</v>
      </c>
      <c r="AD41" s="58"/>
      <c r="AE41" s="17">
        <f>13/1000</f>
        <v>0.013</v>
      </c>
      <c r="AF41" s="58" t="s">
        <v>220</v>
      </c>
    </row>
    <row r="42" spans="1:32" s="17" customFormat="1" ht="31.5" customHeight="1">
      <c r="A42" s="76" t="s">
        <v>45</v>
      </c>
      <c r="B42" s="81"/>
      <c r="C42" s="79"/>
      <c r="D42" s="51"/>
      <c r="E42" s="51"/>
      <c r="F42" s="51"/>
      <c r="G42" s="51"/>
      <c r="H42" s="52">
        <f t="shared" si="0"/>
        <v>0</v>
      </c>
      <c r="I42" s="52">
        <f t="shared" si="1"/>
        <v>0</v>
      </c>
      <c r="J42" s="53">
        <f t="shared" si="3"/>
        <v>0</v>
      </c>
      <c r="K42" s="54">
        <f t="shared" si="4"/>
        <v>0</v>
      </c>
      <c r="L42" s="55">
        <f t="shared" si="5"/>
        <v>0</v>
      </c>
      <c r="M42" s="55">
        <f t="shared" si="6"/>
        <v>0</v>
      </c>
      <c r="N42" s="55">
        <f t="shared" si="7"/>
        <v>0</v>
      </c>
      <c r="O42" s="53">
        <f t="shared" si="8"/>
        <v>0</v>
      </c>
      <c r="P42" s="54">
        <f t="shared" si="9"/>
        <v>0</v>
      </c>
      <c r="Q42" s="54">
        <f t="shared" si="10"/>
        <v>0</v>
      </c>
      <c r="R42" s="15">
        <v>10</v>
      </c>
      <c r="S42" s="17">
        <f>1.1/1000</f>
        <v>0.0011</v>
      </c>
      <c r="T42" s="57">
        <f t="shared" si="2"/>
        <v>0.11</v>
      </c>
      <c r="U42" s="17">
        <v>0</v>
      </c>
      <c r="V42" s="17" t="s">
        <v>164</v>
      </c>
      <c r="W42" s="58" t="s">
        <v>221</v>
      </c>
      <c r="X42" s="17" t="s">
        <v>202</v>
      </c>
      <c r="AB42" s="58" t="s">
        <v>19</v>
      </c>
      <c r="AC42" s="17">
        <f>2/1000</f>
        <v>0.002</v>
      </c>
      <c r="AD42" s="58"/>
      <c r="AE42" s="17">
        <f>2.3/500</f>
        <v>0.0046</v>
      </c>
      <c r="AF42" s="58" t="s">
        <v>222</v>
      </c>
    </row>
    <row r="43" spans="1:32" s="17" customFormat="1" ht="31.5" customHeight="1">
      <c r="A43" s="76" t="s">
        <v>46</v>
      </c>
      <c r="B43" s="81"/>
      <c r="C43" s="79"/>
      <c r="D43" s="51"/>
      <c r="E43" s="51"/>
      <c r="F43" s="51"/>
      <c r="G43" s="51"/>
      <c r="H43" s="52">
        <f t="shared" si="0"/>
        <v>0</v>
      </c>
      <c r="I43" s="52">
        <f t="shared" si="1"/>
        <v>0</v>
      </c>
      <c r="J43" s="53">
        <f t="shared" si="3"/>
        <v>0</v>
      </c>
      <c r="K43" s="54">
        <f t="shared" si="4"/>
        <v>0</v>
      </c>
      <c r="L43" s="55">
        <f t="shared" si="5"/>
        <v>0</v>
      </c>
      <c r="M43" s="55">
        <f t="shared" si="6"/>
        <v>0</v>
      </c>
      <c r="N43" s="55">
        <f t="shared" si="7"/>
        <v>0</v>
      </c>
      <c r="O43" s="53">
        <f t="shared" si="8"/>
        <v>0</v>
      </c>
      <c r="P43" s="54">
        <f t="shared" si="9"/>
        <v>0</v>
      </c>
      <c r="Q43" s="54">
        <f t="shared" si="10"/>
        <v>0</v>
      </c>
      <c r="R43" s="17">
        <v>5</v>
      </c>
      <c r="S43" s="17">
        <f>2.65/400</f>
        <v>0.006625</v>
      </c>
      <c r="T43" s="57">
        <f t="shared" si="2"/>
        <v>0.6625</v>
      </c>
      <c r="U43" s="15">
        <v>0.5</v>
      </c>
      <c r="V43" s="17" t="s">
        <v>167</v>
      </c>
      <c r="W43" s="58" t="s">
        <v>223</v>
      </c>
      <c r="X43" s="17" t="s">
        <v>224</v>
      </c>
      <c r="AB43" s="58" t="s">
        <v>47</v>
      </c>
      <c r="AC43" s="56">
        <v>0.004</v>
      </c>
      <c r="AD43" s="58"/>
      <c r="AE43" s="17">
        <f>2.65/400</f>
        <v>0.006625</v>
      </c>
      <c r="AF43" s="58" t="s">
        <v>223</v>
      </c>
    </row>
    <row r="44" spans="1:32" s="17" customFormat="1" ht="31.5" customHeight="1">
      <c r="A44" s="76" t="s">
        <v>48</v>
      </c>
      <c r="B44" s="81"/>
      <c r="C44" s="79"/>
      <c r="D44" s="51"/>
      <c r="E44" s="51"/>
      <c r="F44" s="51"/>
      <c r="G44" s="51"/>
      <c r="H44" s="52">
        <f t="shared" si="0"/>
        <v>0</v>
      </c>
      <c r="I44" s="52">
        <f t="shared" si="1"/>
        <v>0</v>
      </c>
      <c r="J44" s="53">
        <f t="shared" si="3"/>
        <v>0</v>
      </c>
      <c r="K44" s="54">
        <f t="shared" si="4"/>
        <v>0</v>
      </c>
      <c r="L44" s="55">
        <f t="shared" si="5"/>
        <v>0</v>
      </c>
      <c r="M44" s="55">
        <f t="shared" si="6"/>
        <v>0</v>
      </c>
      <c r="N44" s="55">
        <f t="shared" si="7"/>
        <v>0</v>
      </c>
      <c r="O44" s="53">
        <f t="shared" si="8"/>
        <v>0</v>
      </c>
      <c r="P44" s="54">
        <f t="shared" si="9"/>
        <v>0</v>
      </c>
      <c r="Q44" s="54">
        <f t="shared" si="10"/>
        <v>0</v>
      </c>
      <c r="R44" s="17">
        <v>200</v>
      </c>
      <c r="S44" s="17">
        <f>0.85/200</f>
        <v>0.00425</v>
      </c>
      <c r="T44" s="57">
        <f t="shared" si="2"/>
        <v>0.42500000000000004</v>
      </c>
      <c r="U44" s="17">
        <v>0</v>
      </c>
      <c r="V44" s="17" t="s">
        <v>225</v>
      </c>
      <c r="W44" s="58" t="s">
        <v>226</v>
      </c>
      <c r="AB44" s="58" t="s">
        <v>19</v>
      </c>
      <c r="AC44" s="17">
        <f>0.85/200</f>
        <v>0.00425</v>
      </c>
      <c r="AD44" s="58"/>
      <c r="AE44" s="17">
        <f>1.5/200</f>
        <v>0.0075</v>
      </c>
      <c r="AF44" s="58" t="s">
        <v>227</v>
      </c>
    </row>
    <row r="45" spans="1:32" s="17" customFormat="1" ht="31.5" customHeight="1">
      <c r="A45" s="76" t="s">
        <v>49</v>
      </c>
      <c r="B45" s="81"/>
      <c r="C45" s="79"/>
      <c r="D45" s="51"/>
      <c r="E45" s="51"/>
      <c r="F45" s="51"/>
      <c r="G45" s="51"/>
      <c r="H45" s="52">
        <f t="shared" si="0"/>
        <v>0</v>
      </c>
      <c r="I45" s="52">
        <f t="shared" si="1"/>
        <v>0</v>
      </c>
      <c r="J45" s="53">
        <f t="shared" si="3"/>
        <v>0</v>
      </c>
      <c r="K45" s="54">
        <f t="shared" si="4"/>
        <v>0</v>
      </c>
      <c r="L45" s="55">
        <f t="shared" si="5"/>
        <v>0</v>
      </c>
      <c r="M45" s="55">
        <f t="shared" si="6"/>
        <v>0</v>
      </c>
      <c r="N45" s="55">
        <f t="shared" si="7"/>
        <v>0</v>
      </c>
      <c r="O45" s="53">
        <f t="shared" si="8"/>
        <v>0</v>
      </c>
      <c r="P45" s="54">
        <f t="shared" si="9"/>
        <v>0</v>
      </c>
      <c r="Q45" s="54">
        <f t="shared" si="10"/>
        <v>0</v>
      </c>
      <c r="R45" s="15">
        <v>5</v>
      </c>
      <c r="S45" s="17">
        <f>13.5/1000</f>
        <v>0.0135</v>
      </c>
      <c r="T45" s="57">
        <f t="shared" si="2"/>
        <v>1.35</v>
      </c>
      <c r="U45" s="17">
        <v>0.25</v>
      </c>
      <c r="V45" s="17" t="s">
        <v>164</v>
      </c>
      <c r="W45" s="67" t="s">
        <v>229</v>
      </c>
      <c r="AB45" s="58" t="s">
        <v>19</v>
      </c>
      <c r="AC45" s="17">
        <f>10/1000</f>
        <v>0.01</v>
      </c>
      <c r="AD45" s="58"/>
      <c r="AE45" s="17">
        <f>4/100</f>
        <v>0.04</v>
      </c>
      <c r="AF45" s="58" t="s">
        <v>228</v>
      </c>
    </row>
    <row r="46" spans="1:32" s="17" customFormat="1" ht="31.5" customHeight="1">
      <c r="A46" s="75" t="s">
        <v>50</v>
      </c>
      <c r="B46" s="82"/>
      <c r="C46" s="79"/>
      <c r="D46" s="51"/>
      <c r="E46" s="51"/>
      <c r="F46" s="51"/>
      <c r="G46" s="51"/>
      <c r="H46" s="52">
        <f t="shared" si="0"/>
        <v>0</v>
      </c>
      <c r="I46" s="52">
        <f t="shared" si="1"/>
        <v>0</v>
      </c>
      <c r="J46" s="53">
        <f t="shared" si="3"/>
        <v>0</v>
      </c>
      <c r="K46" s="54">
        <f t="shared" si="4"/>
        <v>0</v>
      </c>
      <c r="L46" s="55">
        <f t="shared" si="5"/>
        <v>0</v>
      </c>
      <c r="M46" s="55">
        <f t="shared" si="6"/>
        <v>0</v>
      </c>
      <c r="N46" s="55">
        <f t="shared" si="7"/>
        <v>0</v>
      </c>
      <c r="O46" s="53">
        <f t="shared" si="8"/>
        <v>0</v>
      </c>
      <c r="P46" s="54">
        <f t="shared" si="9"/>
        <v>0</v>
      </c>
      <c r="Q46" s="54">
        <f t="shared" si="10"/>
        <v>0</v>
      </c>
      <c r="R46" s="17">
        <v>60</v>
      </c>
      <c r="S46" s="17">
        <f>0.6/1000</f>
        <v>0.0006</v>
      </c>
      <c r="T46" s="57">
        <f t="shared" si="2"/>
        <v>0.06</v>
      </c>
      <c r="U46" s="17">
        <v>0</v>
      </c>
      <c r="V46" s="17" t="s">
        <v>164</v>
      </c>
      <c r="W46" s="58" t="s">
        <v>230</v>
      </c>
      <c r="AB46" s="58" t="s">
        <v>19</v>
      </c>
      <c r="AC46" s="17">
        <f>0.75/1000</f>
        <v>0.00075</v>
      </c>
      <c r="AD46" s="58"/>
      <c r="AE46" s="17">
        <f>1.75/1000</f>
        <v>0.00175</v>
      </c>
      <c r="AF46" s="58" t="s">
        <v>231</v>
      </c>
    </row>
    <row r="47" spans="1:32" s="17" customFormat="1" ht="31.5" customHeight="1">
      <c r="A47" s="76" t="s">
        <v>51</v>
      </c>
      <c r="B47" s="81"/>
      <c r="C47" s="79"/>
      <c r="D47" s="51"/>
      <c r="E47" s="51"/>
      <c r="F47" s="51"/>
      <c r="G47" s="51"/>
      <c r="H47" s="52">
        <f t="shared" si="0"/>
        <v>0</v>
      </c>
      <c r="I47" s="52">
        <f t="shared" si="1"/>
        <v>0</v>
      </c>
      <c r="J47" s="53">
        <f t="shared" si="3"/>
        <v>0</v>
      </c>
      <c r="K47" s="54">
        <f t="shared" si="4"/>
        <v>0</v>
      </c>
      <c r="L47" s="55">
        <f t="shared" si="5"/>
        <v>0</v>
      </c>
      <c r="M47" s="55">
        <f t="shared" si="6"/>
        <v>0</v>
      </c>
      <c r="N47" s="55">
        <f t="shared" si="7"/>
        <v>0</v>
      </c>
      <c r="O47" s="53">
        <f t="shared" si="8"/>
        <v>0</v>
      </c>
      <c r="P47" s="54">
        <f t="shared" si="9"/>
        <v>0</v>
      </c>
      <c r="Q47" s="54">
        <f t="shared" si="10"/>
        <v>0</v>
      </c>
      <c r="R47" s="17">
        <v>600</v>
      </c>
      <c r="S47" s="17">
        <f>1.6/1000</f>
        <v>0.0016</v>
      </c>
      <c r="T47" s="57">
        <f t="shared" si="2"/>
        <v>0.16</v>
      </c>
      <c r="U47" s="17">
        <v>0</v>
      </c>
      <c r="V47" s="17" t="s">
        <v>164</v>
      </c>
      <c r="W47" s="58" t="s">
        <v>232</v>
      </c>
      <c r="AB47" s="58" t="s">
        <v>19</v>
      </c>
      <c r="AC47" s="17">
        <v>0.0016</v>
      </c>
      <c r="AD47" s="58"/>
      <c r="AE47" s="17">
        <f>2.95/600</f>
        <v>0.004916666666666667</v>
      </c>
      <c r="AF47" s="58" t="s">
        <v>372</v>
      </c>
    </row>
    <row r="48" spans="1:32" s="17" customFormat="1" ht="31.5" customHeight="1">
      <c r="A48" s="76" t="s">
        <v>52</v>
      </c>
      <c r="B48" s="81"/>
      <c r="C48" s="79"/>
      <c r="D48" s="51"/>
      <c r="E48" s="51"/>
      <c r="F48" s="51"/>
      <c r="G48" s="51"/>
      <c r="H48" s="52">
        <f t="shared" si="0"/>
        <v>0</v>
      </c>
      <c r="I48" s="52">
        <f t="shared" si="1"/>
        <v>0</v>
      </c>
      <c r="J48" s="53">
        <f t="shared" si="3"/>
        <v>0</v>
      </c>
      <c r="K48" s="54">
        <f t="shared" si="4"/>
        <v>0</v>
      </c>
      <c r="L48" s="55">
        <f t="shared" si="5"/>
        <v>0</v>
      </c>
      <c r="M48" s="55">
        <f t="shared" si="6"/>
        <v>0</v>
      </c>
      <c r="N48" s="55">
        <f t="shared" si="7"/>
        <v>0</v>
      </c>
      <c r="O48" s="53">
        <f t="shared" si="8"/>
        <v>0</v>
      </c>
      <c r="P48" s="54">
        <f t="shared" si="9"/>
        <v>0</v>
      </c>
      <c r="Q48" s="54">
        <f t="shared" si="10"/>
        <v>0</v>
      </c>
      <c r="R48" s="17">
        <v>450</v>
      </c>
      <c r="S48" s="17">
        <f>0.7/450</f>
        <v>0.0015555555555555555</v>
      </c>
      <c r="T48" s="57">
        <f t="shared" si="2"/>
        <v>0.15555555555555556</v>
      </c>
      <c r="U48" s="17">
        <v>0</v>
      </c>
      <c r="V48" s="17" t="s">
        <v>212</v>
      </c>
      <c r="W48" s="58" t="s">
        <v>233</v>
      </c>
      <c r="AB48" s="58" t="s">
        <v>30</v>
      </c>
      <c r="AC48" s="17">
        <f>0.6/450</f>
        <v>0.0013333333333333333</v>
      </c>
      <c r="AD48" s="58"/>
      <c r="AE48" s="17">
        <f>1.3/450</f>
        <v>0.002888888888888889</v>
      </c>
      <c r="AF48" s="58" t="s">
        <v>234</v>
      </c>
    </row>
    <row r="49" spans="1:32" s="17" customFormat="1" ht="31.5" customHeight="1">
      <c r="A49" s="76" t="s">
        <v>53</v>
      </c>
      <c r="B49" s="81"/>
      <c r="C49" s="79"/>
      <c r="D49" s="51"/>
      <c r="E49" s="51"/>
      <c r="F49" s="51"/>
      <c r="G49" s="51"/>
      <c r="H49" s="52">
        <f t="shared" si="0"/>
        <v>0</v>
      </c>
      <c r="I49" s="52">
        <f t="shared" si="1"/>
        <v>0</v>
      </c>
      <c r="J49" s="53">
        <f t="shared" si="3"/>
        <v>0</v>
      </c>
      <c r="K49" s="54">
        <f t="shared" si="4"/>
        <v>0</v>
      </c>
      <c r="L49" s="55">
        <f t="shared" si="5"/>
        <v>0</v>
      </c>
      <c r="M49" s="55">
        <f t="shared" si="6"/>
        <v>0</v>
      </c>
      <c r="N49" s="55">
        <f t="shared" si="7"/>
        <v>0</v>
      </c>
      <c r="O49" s="53">
        <f t="shared" si="8"/>
        <v>0</v>
      </c>
      <c r="P49" s="54">
        <f t="shared" si="9"/>
        <v>0</v>
      </c>
      <c r="Q49" s="54">
        <f t="shared" si="10"/>
        <v>0</v>
      </c>
      <c r="R49" s="15">
        <v>1</v>
      </c>
      <c r="S49" s="17">
        <f>8.75/1000</f>
        <v>0.00875</v>
      </c>
      <c r="T49" s="57">
        <f t="shared" si="2"/>
        <v>0.8750000000000001</v>
      </c>
      <c r="U49" s="17">
        <v>0</v>
      </c>
      <c r="V49" s="17" t="s">
        <v>164</v>
      </c>
      <c r="W49" s="58" t="s">
        <v>235</v>
      </c>
      <c r="AB49" s="58" t="s">
        <v>19</v>
      </c>
      <c r="AC49" s="17">
        <v>0.0075</v>
      </c>
      <c r="AD49" s="58"/>
      <c r="AE49" s="17">
        <f>2.55/250</f>
        <v>0.010199999999999999</v>
      </c>
      <c r="AF49" s="58" t="s">
        <v>236</v>
      </c>
    </row>
    <row r="50" spans="1:32" s="17" customFormat="1" ht="31.5" customHeight="1">
      <c r="A50" s="75" t="s">
        <v>54</v>
      </c>
      <c r="B50" s="81"/>
      <c r="C50" s="79"/>
      <c r="D50" s="51"/>
      <c r="E50" s="51"/>
      <c r="F50" s="51"/>
      <c r="G50" s="51"/>
      <c r="H50" s="52">
        <f t="shared" si="0"/>
        <v>0</v>
      </c>
      <c r="I50" s="52">
        <f t="shared" si="1"/>
        <v>0</v>
      </c>
      <c r="J50" s="53">
        <f t="shared" si="3"/>
        <v>0</v>
      </c>
      <c r="K50" s="54">
        <f t="shared" si="4"/>
        <v>0</v>
      </c>
      <c r="L50" s="55">
        <f t="shared" si="5"/>
        <v>0</v>
      </c>
      <c r="M50" s="55">
        <f t="shared" si="6"/>
        <v>0</v>
      </c>
      <c r="N50" s="55">
        <f t="shared" si="7"/>
        <v>0</v>
      </c>
      <c r="O50" s="53">
        <f t="shared" si="8"/>
        <v>0</v>
      </c>
      <c r="P50" s="54">
        <f t="shared" si="9"/>
        <v>0</v>
      </c>
      <c r="Q50" s="54">
        <f t="shared" si="10"/>
        <v>0</v>
      </c>
      <c r="R50" s="15">
        <v>5</v>
      </c>
      <c r="S50" s="17">
        <f>8.34/1000</f>
        <v>0.00834</v>
      </c>
      <c r="T50" s="57">
        <f t="shared" si="2"/>
        <v>0.8340000000000001</v>
      </c>
      <c r="U50" s="15">
        <v>0.9</v>
      </c>
      <c r="V50" s="17" t="s">
        <v>164</v>
      </c>
      <c r="W50" s="58" t="s">
        <v>238</v>
      </c>
      <c r="AB50" s="58" t="s">
        <v>19</v>
      </c>
      <c r="AC50" s="17">
        <f>0.614/100</f>
        <v>0.00614</v>
      </c>
      <c r="AD50" s="58"/>
      <c r="AE50" s="17">
        <f>2.95/250</f>
        <v>0.011800000000000001</v>
      </c>
      <c r="AF50" s="58" t="s">
        <v>237</v>
      </c>
    </row>
    <row r="51" spans="1:32" s="17" customFormat="1" ht="31.5" customHeight="1">
      <c r="A51" s="75" t="s">
        <v>55</v>
      </c>
      <c r="B51" s="81"/>
      <c r="C51" s="79"/>
      <c r="D51" s="51"/>
      <c r="E51" s="51"/>
      <c r="F51" s="51"/>
      <c r="G51" s="51"/>
      <c r="H51" s="52">
        <f t="shared" si="0"/>
        <v>0</v>
      </c>
      <c r="I51" s="52">
        <f t="shared" si="1"/>
        <v>0</v>
      </c>
      <c r="J51" s="53">
        <f t="shared" si="3"/>
        <v>0</v>
      </c>
      <c r="K51" s="54">
        <f t="shared" si="4"/>
        <v>0</v>
      </c>
      <c r="L51" s="55">
        <f t="shared" si="5"/>
        <v>0</v>
      </c>
      <c r="M51" s="55">
        <f t="shared" si="6"/>
        <v>0</v>
      </c>
      <c r="N51" s="55">
        <f t="shared" si="7"/>
        <v>0</v>
      </c>
      <c r="O51" s="53">
        <f t="shared" si="8"/>
        <v>0</v>
      </c>
      <c r="P51" s="54">
        <f t="shared" si="9"/>
        <v>0</v>
      </c>
      <c r="Q51" s="54">
        <f t="shared" si="10"/>
        <v>0</v>
      </c>
      <c r="R51" s="17">
        <v>10</v>
      </c>
      <c r="S51" s="17">
        <f>1.37/100</f>
        <v>0.0137</v>
      </c>
      <c r="T51" s="57">
        <f t="shared" si="2"/>
        <v>1.37</v>
      </c>
      <c r="U51" s="15">
        <v>0.25</v>
      </c>
      <c r="V51" s="17" t="s">
        <v>240</v>
      </c>
      <c r="W51" s="58" t="s">
        <v>241</v>
      </c>
      <c r="AB51" s="58" t="s">
        <v>19</v>
      </c>
      <c r="AC51" s="17">
        <v>0.0125</v>
      </c>
      <c r="AD51" s="58"/>
      <c r="AE51" s="17">
        <f>2.5/150</f>
        <v>0.016666666666666666</v>
      </c>
      <c r="AF51" s="58" t="s">
        <v>239</v>
      </c>
    </row>
    <row r="52" spans="1:32" s="17" customFormat="1" ht="31.5" customHeight="1">
      <c r="A52" s="76" t="s">
        <v>56</v>
      </c>
      <c r="B52" s="81"/>
      <c r="C52" s="79"/>
      <c r="D52" s="51"/>
      <c r="E52" s="51"/>
      <c r="F52" s="51"/>
      <c r="G52" s="51"/>
      <c r="H52" s="52">
        <f t="shared" si="0"/>
        <v>0</v>
      </c>
      <c r="I52" s="52">
        <f t="shared" si="1"/>
        <v>0</v>
      </c>
      <c r="J52" s="53">
        <f t="shared" si="3"/>
        <v>0</v>
      </c>
      <c r="K52" s="54">
        <f t="shared" si="4"/>
        <v>0</v>
      </c>
      <c r="L52" s="55">
        <f t="shared" si="5"/>
        <v>0</v>
      </c>
      <c r="M52" s="55">
        <f t="shared" si="6"/>
        <v>0</v>
      </c>
      <c r="N52" s="55">
        <f t="shared" si="7"/>
        <v>0</v>
      </c>
      <c r="O52" s="53">
        <f t="shared" si="8"/>
        <v>0</v>
      </c>
      <c r="P52" s="54">
        <f t="shared" si="9"/>
        <v>0</v>
      </c>
      <c r="Q52" s="54">
        <f t="shared" si="10"/>
        <v>0</v>
      </c>
      <c r="R52" s="17">
        <v>125</v>
      </c>
      <c r="S52" s="17">
        <f>7.6/1000</f>
        <v>0.0076</v>
      </c>
      <c r="T52" s="57">
        <f t="shared" si="2"/>
        <v>0.76</v>
      </c>
      <c r="U52" s="17">
        <v>0</v>
      </c>
      <c r="V52" s="17" t="s">
        <v>164</v>
      </c>
      <c r="W52" s="58" t="s">
        <v>242</v>
      </c>
      <c r="AB52" s="58" t="s">
        <v>19</v>
      </c>
      <c r="AC52" s="17">
        <f>7.2/1000</f>
        <v>0.0072</v>
      </c>
      <c r="AD52" s="58"/>
      <c r="AE52" s="17">
        <f>(2.6/2)/125</f>
        <v>0.0104</v>
      </c>
      <c r="AF52" s="58" t="s">
        <v>243</v>
      </c>
    </row>
    <row r="53" spans="1:32" s="17" customFormat="1" ht="31.5" customHeight="1">
      <c r="A53" s="76" t="s">
        <v>57</v>
      </c>
      <c r="B53" s="81"/>
      <c r="C53" s="79"/>
      <c r="D53" s="51"/>
      <c r="E53" s="51"/>
      <c r="F53" s="51"/>
      <c r="G53" s="51"/>
      <c r="H53" s="52">
        <f t="shared" si="0"/>
        <v>0</v>
      </c>
      <c r="I53" s="52">
        <f t="shared" si="1"/>
        <v>0</v>
      </c>
      <c r="J53" s="53">
        <f t="shared" si="3"/>
        <v>0</v>
      </c>
      <c r="K53" s="54">
        <f t="shared" si="4"/>
        <v>0</v>
      </c>
      <c r="L53" s="55">
        <f t="shared" si="5"/>
        <v>0</v>
      </c>
      <c r="M53" s="55">
        <f t="shared" si="6"/>
        <v>0</v>
      </c>
      <c r="N53" s="55">
        <f t="shared" si="7"/>
        <v>0</v>
      </c>
      <c r="O53" s="53">
        <f t="shared" si="8"/>
        <v>0</v>
      </c>
      <c r="P53" s="54">
        <f t="shared" si="9"/>
        <v>0</v>
      </c>
      <c r="Q53" s="54">
        <f t="shared" si="10"/>
        <v>0</v>
      </c>
      <c r="R53" s="17">
        <v>20</v>
      </c>
      <c r="S53" s="17">
        <f>10/1000</f>
        <v>0.01</v>
      </c>
      <c r="T53" s="57">
        <f t="shared" si="2"/>
        <v>1</v>
      </c>
      <c r="U53" s="17">
        <v>0.1</v>
      </c>
      <c r="V53" s="17" t="s">
        <v>164</v>
      </c>
      <c r="W53" s="58" t="s">
        <v>244</v>
      </c>
      <c r="AB53" s="58" t="s">
        <v>19</v>
      </c>
      <c r="AC53" s="17">
        <v>0.0134</v>
      </c>
      <c r="AD53" s="58"/>
      <c r="AE53" s="17">
        <f>34/1000</f>
        <v>0.034</v>
      </c>
      <c r="AF53" s="58" t="s">
        <v>245</v>
      </c>
    </row>
    <row r="54" spans="1:32" s="17" customFormat="1" ht="31.5" customHeight="1">
      <c r="A54" s="76" t="s">
        <v>58</v>
      </c>
      <c r="B54" s="81"/>
      <c r="C54" s="79"/>
      <c r="D54" s="51"/>
      <c r="E54" s="51"/>
      <c r="F54" s="51"/>
      <c r="G54" s="51"/>
      <c r="H54" s="52">
        <f t="shared" si="0"/>
        <v>0</v>
      </c>
      <c r="I54" s="52">
        <f t="shared" si="1"/>
        <v>0</v>
      </c>
      <c r="J54" s="53">
        <f t="shared" si="3"/>
        <v>0</v>
      </c>
      <c r="K54" s="54">
        <f t="shared" si="4"/>
        <v>0</v>
      </c>
      <c r="L54" s="55">
        <f t="shared" si="5"/>
        <v>0</v>
      </c>
      <c r="M54" s="55">
        <f t="shared" si="6"/>
        <v>0</v>
      </c>
      <c r="N54" s="55">
        <f t="shared" si="7"/>
        <v>0</v>
      </c>
      <c r="O54" s="53">
        <f t="shared" si="8"/>
        <v>0</v>
      </c>
      <c r="P54" s="54">
        <f t="shared" si="9"/>
        <v>0</v>
      </c>
      <c r="Q54" s="54">
        <f t="shared" si="10"/>
        <v>0</v>
      </c>
      <c r="S54" s="17">
        <f>0.3/10</f>
        <v>0.03</v>
      </c>
      <c r="T54" s="57">
        <f t="shared" si="2"/>
        <v>3</v>
      </c>
      <c r="U54" s="17">
        <v>0</v>
      </c>
      <c r="V54" s="17" t="s">
        <v>164</v>
      </c>
      <c r="W54" s="58" t="s">
        <v>246</v>
      </c>
      <c r="AB54" s="58" t="s">
        <v>19</v>
      </c>
      <c r="AC54" s="17">
        <f>0.34/10</f>
        <v>0.034</v>
      </c>
      <c r="AD54" s="58"/>
      <c r="AE54" s="17">
        <f>1.95/30</f>
        <v>0.065</v>
      </c>
      <c r="AF54" s="58" t="s">
        <v>247</v>
      </c>
    </row>
    <row r="55" spans="1:33" s="17" customFormat="1" ht="31.5" customHeight="1">
      <c r="A55" s="76" t="s">
        <v>59</v>
      </c>
      <c r="B55" s="81"/>
      <c r="C55" s="79"/>
      <c r="D55" s="51"/>
      <c r="E55" s="51"/>
      <c r="F55" s="51"/>
      <c r="G55" s="51"/>
      <c r="H55" s="52">
        <f t="shared" si="0"/>
        <v>0</v>
      </c>
      <c r="I55" s="52">
        <f t="shared" si="1"/>
        <v>0</v>
      </c>
      <c r="J55" s="53">
        <f t="shared" si="3"/>
        <v>0</v>
      </c>
      <c r="K55" s="54">
        <f t="shared" si="4"/>
        <v>0</v>
      </c>
      <c r="L55" s="55">
        <f t="shared" si="5"/>
        <v>0</v>
      </c>
      <c r="M55" s="55">
        <f t="shared" si="6"/>
        <v>0</v>
      </c>
      <c r="N55" s="55">
        <f>G55*30</f>
        <v>0</v>
      </c>
      <c r="O55" s="53">
        <f t="shared" si="8"/>
        <v>0</v>
      </c>
      <c r="P55" s="54">
        <f t="shared" si="9"/>
        <v>0</v>
      </c>
      <c r="Q55" s="54">
        <f t="shared" si="10"/>
        <v>0</v>
      </c>
      <c r="R55" s="15"/>
      <c r="S55" s="17">
        <f>0.925/10</f>
        <v>0.0925</v>
      </c>
      <c r="T55" s="57">
        <f t="shared" si="2"/>
        <v>9.25</v>
      </c>
      <c r="U55" s="17">
        <v>0</v>
      </c>
      <c r="V55" s="17" t="s">
        <v>249</v>
      </c>
      <c r="W55" s="58" t="s">
        <v>248</v>
      </c>
      <c r="X55" s="17" t="s">
        <v>250</v>
      </c>
      <c r="AB55" s="58" t="s">
        <v>19</v>
      </c>
      <c r="AC55" s="17">
        <f>0.34/10</f>
        <v>0.034</v>
      </c>
      <c r="AD55" s="58"/>
      <c r="AE55" s="17">
        <f>0.925/10</f>
        <v>0.0925</v>
      </c>
      <c r="AF55" s="58" t="s">
        <v>248</v>
      </c>
      <c r="AG55" s="17" t="s">
        <v>250</v>
      </c>
    </row>
    <row r="56" spans="1:32" s="17" customFormat="1" ht="31.5" customHeight="1">
      <c r="A56" s="75" t="s">
        <v>60</v>
      </c>
      <c r="B56" s="82"/>
      <c r="C56" s="79"/>
      <c r="D56" s="51"/>
      <c r="E56" s="51"/>
      <c r="F56" s="51"/>
      <c r="G56" s="51"/>
      <c r="H56" s="52">
        <f aca="true" t="shared" si="11" ref="H56:H87">P56</f>
        <v>0</v>
      </c>
      <c r="I56" s="52">
        <f aca="true" t="shared" si="12" ref="I56:I87">Q56</f>
        <v>0</v>
      </c>
      <c r="J56" s="53">
        <f t="shared" si="3"/>
        <v>0</v>
      </c>
      <c r="K56" s="54">
        <f t="shared" si="4"/>
        <v>0</v>
      </c>
      <c r="L56" s="55">
        <f t="shared" si="5"/>
        <v>0</v>
      </c>
      <c r="M56" s="55">
        <f t="shared" si="6"/>
        <v>0</v>
      </c>
      <c r="N56" s="55">
        <f t="shared" si="7"/>
        <v>0</v>
      </c>
      <c r="O56" s="53">
        <f t="shared" si="8"/>
        <v>0</v>
      </c>
      <c r="P56" s="54">
        <f t="shared" si="9"/>
        <v>0</v>
      </c>
      <c r="Q56" s="54">
        <f t="shared" si="10"/>
        <v>0</v>
      </c>
      <c r="R56" s="17">
        <v>200</v>
      </c>
      <c r="S56" s="17">
        <f>2.5/1000</f>
        <v>0.0025</v>
      </c>
      <c r="T56" s="57">
        <f t="shared" si="2"/>
        <v>0.25</v>
      </c>
      <c r="U56" s="15">
        <v>1</v>
      </c>
      <c r="V56" s="17" t="s">
        <v>164</v>
      </c>
      <c r="W56" s="58" t="s">
        <v>251</v>
      </c>
      <c r="AB56" s="58" t="s">
        <v>19</v>
      </c>
      <c r="AC56" s="17">
        <f>2.14/1000</f>
        <v>0.00214</v>
      </c>
      <c r="AD56" s="58"/>
      <c r="AE56" s="17">
        <f>7.34/300</f>
        <v>0.024466666666666668</v>
      </c>
      <c r="AF56" s="58" t="s">
        <v>252</v>
      </c>
    </row>
    <row r="57" spans="1:32" s="17" customFormat="1" ht="31.5" customHeight="1">
      <c r="A57" s="76" t="s">
        <v>61</v>
      </c>
      <c r="B57" s="81"/>
      <c r="C57" s="79"/>
      <c r="D57" s="51"/>
      <c r="E57" s="51"/>
      <c r="F57" s="51"/>
      <c r="G57" s="51"/>
      <c r="H57" s="52">
        <f t="shared" si="11"/>
        <v>0</v>
      </c>
      <c r="I57" s="52">
        <f t="shared" si="12"/>
        <v>0</v>
      </c>
      <c r="J57" s="53">
        <f t="shared" si="3"/>
        <v>0</v>
      </c>
      <c r="K57" s="54">
        <f t="shared" si="4"/>
        <v>0</v>
      </c>
      <c r="L57" s="55">
        <f t="shared" si="5"/>
        <v>0</v>
      </c>
      <c r="M57" s="55">
        <f t="shared" si="6"/>
        <v>0</v>
      </c>
      <c r="N57" s="55">
        <f t="shared" si="7"/>
        <v>0</v>
      </c>
      <c r="O57" s="53">
        <f t="shared" si="8"/>
        <v>0</v>
      </c>
      <c r="P57" s="54">
        <f t="shared" si="9"/>
        <v>0</v>
      </c>
      <c r="Q57" s="54">
        <f t="shared" si="10"/>
        <v>0</v>
      </c>
      <c r="R57" s="17">
        <v>20</v>
      </c>
      <c r="S57" s="17">
        <f>5.71/100</f>
        <v>0.0571</v>
      </c>
      <c r="T57" s="57">
        <f t="shared" si="2"/>
        <v>5.71</v>
      </c>
      <c r="U57" s="17">
        <v>1</v>
      </c>
      <c r="V57" s="58" t="s">
        <v>253</v>
      </c>
      <c r="W57" s="58" t="s">
        <v>254</v>
      </c>
      <c r="AB57" s="58"/>
      <c r="AC57" s="17">
        <v>0.005</v>
      </c>
      <c r="AD57" s="58"/>
      <c r="AE57" s="17">
        <f>5.71/100</f>
        <v>0.0571</v>
      </c>
      <c r="AF57" s="67" t="s">
        <v>253</v>
      </c>
    </row>
    <row r="58" spans="1:32" s="17" customFormat="1" ht="31.5" customHeight="1">
      <c r="A58" s="76" t="s">
        <v>62</v>
      </c>
      <c r="B58" s="81"/>
      <c r="C58" s="79"/>
      <c r="D58" s="51"/>
      <c r="E58" s="51"/>
      <c r="F58" s="51"/>
      <c r="G58" s="51"/>
      <c r="H58" s="52">
        <f t="shared" si="11"/>
        <v>0</v>
      </c>
      <c r="I58" s="52">
        <f t="shared" si="12"/>
        <v>0</v>
      </c>
      <c r="J58" s="53">
        <f t="shared" si="3"/>
        <v>0</v>
      </c>
      <c r="K58" s="54">
        <f t="shared" si="4"/>
        <v>0</v>
      </c>
      <c r="L58" s="55">
        <f t="shared" si="5"/>
        <v>0</v>
      </c>
      <c r="M58" s="55">
        <f t="shared" si="6"/>
        <v>0</v>
      </c>
      <c r="N58" s="55">
        <f t="shared" si="7"/>
        <v>0</v>
      </c>
      <c r="O58" s="53">
        <f t="shared" si="8"/>
        <v>0</v>
      </c>
      <c r="P58" s="54">
        <f t="shared" si="9"/>
        <v>0</v>
      </c>
      <c r="Q58" s="54">
        <f t="shared" si="10"/>
        <v>0</v>
      </c>
      <c r="R58" s="17">
        <v>1</v>
      </c>
      <c r="S58" s="17">
        <f>9.17/1000</f>
        <v>0.00917</v>
      </c>
      <c r="T58" s="57">
        <f t="shared" si="2"/>
        <v>0.9169999999999999</v>
      </c>
      <c r="U58" s="15">
        <v>1</v>
      </c>
      <c r="V58" s="17" t="s">
        <v>164</v>
      </c>
      <c r="W58" s="58" t="s">
        <v>255</v>
      </c>
      <c r="AB58" s="58" t="s">
        <v>19</v>
      </c>
      <c r="AC58" s="17">
        <f>6.67/1000</f>
        <v>0.00667</v>
      </c>
      <c r="AD58" s="58"/>
      <c r="AE58" s="17">
        <f>2.77/100</f>
        <v>0.0277</v>
      </c>
      <c r="AF58" s="58" t="s">
        <v>255</v>
      </c>
    </row>
    <row r="59" spans="1:32" s="17" customFormat="1" ht="31.5" customHeight="1">
      <c r="A59" s="75" t="s">
        <v>63</v>
      </c>
      <c r="B59" s="81"/>
      <c r="C59" s="79"/>
      <c r="D59" s="51"/>
      <c r="E59" s="51"/>
      <c r="F59" s="51"/>
      <c r="G59" s="51"/>
      <c r="H59" s="52">
        <f t="shared" si="11"/>
        <v>0</v>
      </c>
      <c r="I59" s="52">
        <f t="shared" si="12"/>
        <v>0</v>
      </c>
      <c r="J59" s="53">
        <f t="shared" si="3"/>
        <v>0</v>
      </c>
      <c r="K59" s="54">
        <f t="shared" si="4"/>
        <v>0</v>
      </c>
      <c r="L59" s="55">
        <f t="shared" si="5"/>
        <v>0</v>
      </c>
      <c r="M59" s="55">
        <f t="shared" si="6"/>
        <v>0</v>
      </c>
      <c r="N59" s="55">
        <f t="shared" si="7"/>
        <v>0</v>
      </c>
      <c r="O59" s="53">
        <f t="shared" si="8"/>
        <v>0</v>
      </c>
      <c r="P59" s="54">
        <f t="shared" si="9"/>
        <v>0</v>
      </c>
      <c r="Q59" s="54">
        <f t="shared" si="10"/>
        <v>0</v>
      </c>
      <c r="R59" s="17">
        <v>300</v>
      </c>
      <c r="S59" s="17">
        <f>0.7/300</f>
        <v>0.002333333333333333</v>
      </c>
      <c r="T59" s="57">
        <f t="shared" si="2"/>
        <v>0.2333333333333333</v>
      </c>
      <c r="U59" s="15">
        <v>0.9</v>
      </c>
      <c r="V59" s="17" t="s">
        <v>257</v>
      </c>
      <c r="W59" s="58" t="s">
        <v>256</v>
      </c>
      <c r="AB59" s="58" t="s">
        <v>19</v>
      </c>
      <c r="AC59" s="17">
        <f>0.5/300</f>
        <v>0.0016666666666666668</v>
      </c>
      <c r="AD59" s="58"/>
      <c r="AE59" s="17">
        <f>1.4/300</f>
        <v>0.004666666666666666</v>
      </c>
      <c r="AF59" s="58" t="s">
        <v>258</v>
      </c>
    </row>
    <row r="60" spans="1:32" s="17" customFormat="1" ht="31.5" customHeight="1">
      <c r="A60" s="76" t="s">
        <v>64</v>
      </c>
      <c r="B60" s="81"/>
      <c r="C60" s="79"/>
      <c r="D60" s="51"/>
      <c r="E60" s="51"/>
      <c r="F60" s="51"/>
      <c r="G60" s="51"/>
      <c r="H60" s="52">
        <f t="shared" si="11"/>
        <v>0</v>
      </c>
      <c r="I60" s="52">
        <f t="shared" si="12"/>
        <v>0</v>
      </c>
      <c r="J60" s="53">
        <f t="shared" si="3"/>
        <v>0</v>
      </c>
      <c r="K60" s="54">
        <f t="shared" si="4"/>
        <v>0</v>
      </c>
      <c r="L60" s="55">
        <f t="shared" si="5"/>
        <v>0</v>
      </c>
      <c r="M60" s="55">
        <f t="shared" si="6"/>
        <v>0</v>
      </c>
      <c r="N60" s="55">
        <f t="shared" si="7"/>
        <v>0</v>
      </c>
      <c r="O60" s="53">
        <f t="shared" si="8"/>
        <v>0</v>
      </c>
      <c r="P60" s="54">
        <f t="shared" si="9"/>
        <v>0</v>
      </c>
      <c r="Q60" s="54">
        <f t="shared" si="10"/>
        <v>0</v>
      </c>
      <c r="R60" s="15">
        <v>170</v>
      </c>
      <c r="S60" s="17">
        <f>1.15/170</f>
        <v>0.006764705882352941</v>
      </c>
      <c r="T60" s="57">
        <f t="shared" si="2"/>
        <v>0.676470588235294</v>
      </c>
      <c r="U60" s="17">
        <v>0</v>
      </c>
      <c r="V60" s="17" t="s">
        <v>165</v>
      </c>
      <c r="W60" s="58" t="s">
        <v>259</v>
      </c>
      <c r="AB60" s="58" t="s">
        <v>30</v>
      </c>
      <c r="AC60" s="17">
        <f>1.3/1000</f>
        <v>0.0013</v>
      </c>
      <c r="AD60" s="58"/>
      <c r="AE60" s="17">
        <f>1.3/170</f>
        <v>0.007647058823529412</v>
      </c>
      <c r="AF60" s="58" t="s">
        <v>260</v>
      </c>
    </row>
    <row r="61" spans="1:32" s="17" customFormat="1" ht="31.5" customHeight="1">
      <c r="A61" s="75" t="s">
        <v>65</v>
      </c>
      <c r="B61" s="81"/>
      <c r="C61" s="79"/>
      <c r="D61" s="51"/>
      <c r="E61" s="51"/>
      <c r="F61" s="51"/>
      <c r="G61" s="51"/>
      <c r="H61" s="52">
        <f t="shared" si="11"/>
        <v>0</v>
      </c>
      <c r="I61" s="52">
        <f t="shared" si="12"/>
        <v>0</v>
      </c>
      <c r="J61" s="53">
        <f t="shared" si="3"/>
        <v>0</v>
      </c>
      <c r="K61" s="54">
        <f t="shared" si="4"/>
        <v>0</v>
      </c>
      <c r="L61" s="55">
        <f t="shared" si="5"/>
        <v>0</v>
      </c>
      <c r="M61" s="55">
        <f t="shared" si="6"/>
        <v>0</v>
      </c>
      <c r="N61" s="55">
        <f t="shared" si="7"/>
        <v>0</v>
      </c>
      <c r="O61" s="53">
        <f t="shared" si="8"/>
        <v>0</v>
      </c>
      <c r="P61" s="54">
        <f t="shared" si="9"/>
        <v>0</v>
      </c>
      <c r="Q61" s="54">
        <f t="shared" si="10"/>
        <v>0</v>
      </c>
      <c r="R61" s="15">
        <v>5</v>
      </c>
      <c r="S61" s="17">
        <f>2.65/400</f>
        <v>0.006625</v>
      </c>
      <c r="T61" s="57">
        <f t="shared" si="2"/>
        <v>0.6625</v>
      </c>
      <c r="U61" s="15">
        <v>0.5</v>
      </c>
      <c r="V61" s="17" t="s">
        <v>204</v>
      </c>
      <c r="W61" s="58" t="s">
        <v>223</v>
      </c>
      <c r="AB61" s="58" t="s">
        <v>66</v>
      </c>
      <c r="AC61" s="17">
        <v>0.004</v>
      </c>
      <c r="AD61" s="58"/>
      <c r="AE61" s="17">
        <f>2.65/400</f>
        <v>0.006625</v>
      </c>
      <c r="AF61" s="58" t="s">
        <v>223</v>
      </c>
    </row>
    <row r="62" spans="1:33" s="17" customFormat="1" ht="31.5" customHeight="1">
      <c r="A62" s="75" t="s">
        <v>67</v>
      </c>
      <c r="B62" s="81"/>
      <c r="C62" s="79"/>
      <c r="D62" s="51"/>
      <c r="E62" s="51"/>
      <c r="F62" s="51"/>
      <c r="G62" s="51"/>
      <c r="H62" s="52">
        <f t="shared" si="11"/>
        <v>0</v>
      </c>
      <c r="I62" s="52">
        <f t="shared" si="12"/>
        <v>0</v>
      </c>
      <c r="J62" s="53">
        <f t="shared" si="3"/>
        <v>0</v>
      </c>
      <c r="K62" s="54">
        <f t="shared" si="4"/>
        <v>0</v>
      </c>
      <c r="L62" s="55">
        <f t="shared" si="5"/>
        <v>0</v>
      </c>
      <c r="M62" s="55">
        <f t="shared" si="6"/>
        <v>0</v>
      </c>
      <c r="N62" s="55">
        <f t="shared" si="7"/>
        <v>0</v>
      </c>
      <c r="O62" s="53">
        <f t="shared" si="8"/>
        <v>0</v>
      </c>
      <c r="P62" s="54">
        <f t="shared" si="9"/>
        <v>0</v>
      </c>
      <c r="Q62" s="54">
        <f t="shared" si="10"/>
        <v>0</v>
      </c>
      <c r="R62" s="17">
        <v>1</v>
      </c>
      <c r="S62" s="17">
        <f>7.18/100</f>
        <v>0.0718</v>
      </c>
      <c r="T62" s="57">
        <f t="shared" si="2"/>
        <v>7.180000000000001</v>
      </c>
      <c r="U62" s="15">
        <v>0.25</v>
      </c>
      <c r="V62" s="17" t="s">
        <v>263</v>
      </c>
      <c r="W62" s="17" t="s">
        <v>262</v>
      </c>
      <c r="X62" s="17" t="s">
        <v>261</v>
      </c>
      <c r="AB62" s="58" t="s">
        <v>66</v>
      </c>
      <c r="AC62" s="17">
        <f>3.56/100</f>
        <v>0.0356</v>
      </c>
      <c r="AD62" s="58"/>
      <c r="AE62" s="17">
        <f>7.18/100</f>
        <v>0.0718</v>
      </c>
      <c r="AF62" s="17" t="s">
        <v>262</v>
      </c>
      <c r="AG62" s="17" t="s">
        <v>261</v>
      </c>
    </row>
    <row r="63" spans="1:32" s="17" customFormat="1" ht="31.5" customHeight="1">
      <c r="A63" s="76" t="s">
        <v>68</v>
      </c>
      <c r="B63" s="81"/>
      <c r="C63" s="79"/>
      <c r="D63" s="51"/>
      <c r="E63" s="51"/>
      <c r="F63" s="51"/>
      <c r="G63" s="51"/>
      <c r="H63" s="52">
        <f t="shared" si="11"/>
        <v>0</v>
      </c>
      <c r="I63" s="52">
        <f t="shared" si="12"/>
        <v>0</v>
      </c>
      <c r="J63" s="53">
        <f t="shared" si="3"/>
        <v>0</v>
      </c>
      <c r="K63" s="54">
        <f t="shared" si="4"/>
        <v>0</v>
      </c>
      <c r="L63" s="55">
        <f t="shared" si="5"/>
        <v>0</v>
      </c>
      <c r="M63" s="55">
        <f t="shared" si="6"/>
        <v>0</v>
      </c>
      <c r="N63" s="55">
        <f t="shared" si="7"/>
        <v>0</v>
      </c>
      <c r="O63" s="53">
        <f t="shared" si="8"/>
        <v>0</v>
      </c>
      <c r="P63" s="54">
        <f t="shared" si="9"/>
        <v>0</v>
      </c>
      <c r="Q63" s="54">
        <f t="shared" si="10"/>
        <v>0</v>
      </c>
      <c r="R63" s="15">
        <v>300</v>
      </c>
      <c r="S63" s="17">
        <f>4.4/1000</f>
        <v>0.0044</v>
      </c>
      <c r="T63" s="57">
        <f t="shared" si="2"/>
        <v>0.44</v>
      </c>
      <c r="U63" s="17">
        <v>0</v>
      </c>
      <c r="V63" s="17" t="s">
        <v>164</v>
      </c>
      <c r="W63" s="58" t="s">
        <v>264</v>
      </c>
      <c r="AB63" s="58" t="s">
        <v>19</v>
      </c>
      <c r="AC63" s="17">
        <f>4/1000</f>
        <v>0.004</v>
      </c>
      <c r="AD63" s="58"/>
      <c r="AE63" s="17">
        <f>0.875/100</f>
        <v>0.00875</v>
      </c>
      <c r="AF63" s="58" t="s">
        <v>265</v>
      </c>
    </row>
    <row r="64" spans="1:32" s="17" customFormat="1" ht="31.5" customHeight="1">
      <c r="A64" s="75" t="s">
        <v>69</v>
      </c>
      <c r="B64" s="81"/>
      <c r="C64" s="79"/>
      <c r="D64" s="51"/>
      <c r="E64" s="51"/>
      <c r="F64" s="51"/>
      <c r="G64" s="51"/>
      <c r="H64" s="52">
        <f t="shared" si="11"/>
        <v>0</v>
      </c>
      <c r="I64" s="52">
        <f t="shared" si="12"/>
        <v>0</v>
      </c>
      <c r="J64" s="53">
        <f t="shared" si="3"/>
        <v>0</v>
      </c>
      <c r="K64" s="54">
        <f t="shared" si="4"/>
        <v>0</v>
      </c>
      <c r="L64" s="55">
        <f t="shared" si="5"/>
        <v>0</v>
      </c>
      <c r="M64" s="55">
        <f t="shared" si="6"/>
        <v>0</v>
      </c>
      <c r="N64" s="55">
        <f t="shared" si="7"/>
        <v>0</v>
      </c>
      <c r="O64" s="53">
        <f t="shared" si="8"/>
        <v>0</v>
      </c>
      <c r="P64" s="54">
        <f t="shared" si="9"/>
        <v>0</v>
      </c>
      <c r="Q64" s="54">
        <f t="shared" si="10"/>
        <v>0</v>
      </c>
      <c r="R64" s="17">
        <f>330/6</f>
        <v>55</v>
      </c>
      <c r="S64" s="17">
        <f>22.86/1000</f>
        <v>0.02286</v>
      </c>
      <c r="T64" s="57">
        <f t="shared" si="2"/>
        <v>2.286</v>
      </c>
      <c r="U64" s="15">
        <v>0</v>
      </c>
      <c r="V64" s="17" t="s">
        <v>268</v>
      </c>
      <c r="W64" s="58" t="s">
        <v>267</v>
      </c>
      <c r="AB64" s="58" t="s">
        <v>19</v>
      </c>
      <c r="AC64" s="17">
        <f>13.64/1000</f>
        <v>0.013640000000000001</v>
      </c>
      <c r="AD64" s="58"/>
      <c r="AE64" s="17">
        <f>26.43/1000</f>
        <v>0.02643</v>
      </c>
      <c r="AF64" s="58" t="s">
        <v>266</v>
      </c>
    </row>
    <row r="65" spans="1:32" s="17" customFormat="1" ht="31.5" customHeight="1">
      <c r="A65" s="75" t="s">
        <v>70</v>
      </c>
      <c r="B65" s="81"/>
      <c r="C65" s="79"/>
      <c r="D65" s="51"/>
      <c r="E65" s="51"/>
      <c r="F65" s="51"/>
      <c r="G65" s="51"/>
      <c r="H65" s="52">
        <f t="shared" si="11"/>
        <v>0</v>
      </c>
      <c r="I65" s="52">
        <f t="shared" si="12"/>
        <v>0</v>
      </c>
      <c r="J65" s="53">
        <f t="shared" si="3"/>
        <v>0</v>
      </c>
      <c r="K65" s="54">
        <f t="shared" si="4"/>
        <v>0</v>
      </c>
      <c r="L65" s="55">
        <f t="shared" si="5"/>
        <v>0</v>
      </c>
      <c r="M65" s="55">
        <f t="shared" si="6"/>
        <v>0</v>
      </c>
      <c r="N65" s="55">
        <f>G65*30</f>
        <v>0</v>
      </c>
      <c r="O65" s="53">
        <f t="shared" si="8"/>
        <v>0</v>
      </c>
      <c r="P65" s="54">
        <f t="shared" si="9"/>
        <v>0</v>
      </c>
      <c r="Q65" s="54">
        <f t="shared" si="10"/>
        <v>0</v>
      </c>
      <c r="S65" s="17">
        <f>0.3/10</f>
        <v>0.03</v>
      </c>
      <c r="T65" s="57">
        <f t="shared" si="2"/>
        <v>3</v>
      </c>
      <c r="U65" s="15">
        <v>0</v>
      </c>
      <c r="V65" s="17" t="s">
        <v>164</v>
      </c>
      <c r="W65" s="58" t="s">
        <v>269</v>
      </c>
      <c r="AB65" s="58" t="s">
        <v>19</v>
      </c>
      <c r="AC65" s="17">
        <f>0.34/10</f>
        <v>0.034</v>
      </c>
      <c r="AD65" s="58"/>
      <c r="AE65" s="17">
        <f>2.05/30</f>
        <v>0.06833333333333333</v>
      </c>
      <c r="AF65" s="58" t="s">
        <v>373</v>
      </c>
    </row>
    <row r="66" spans="1:32" s="17" customFormat="1" ht="31.5" customHeight="1">
      <c r="A66" s="76" t="s">
        <v>71</v>
      </c>
      <c r="B66" s="82"/>
      <c r="C66" s="79"/>
      <c r="D66" s="51"/>
      <c r="E66" s="51"/>
      <c r="F66" s="51"/>
      <c r="G66" s="51"/>
      <c r="H66" s="52">
        <f t="shared" si="11"/>
        <v>0</v>
      </c>
      <c r="I66" s="52">
        <f t="shared" si="12"/>
        <v>0</v>
      </c>
      <c r="J66" s="53">
        <f t="shared" si="3"/>
        <v>0</v>
      </c>
      <c r="K66" s="54">
        <f t="shared" si="4"/>
        <v>0</v>
      </c>
      <c r="L66" s="55">
        <f t="shared" si="5"/>
        <v>0</v>
      </c>
      <c r="M66" s="55">
        <f t="shared" si="6"/>
        <v>0</v>
      </c>
      <c r="N66" s="55">
        <f t="shared" si="7"/>
        <v>0</v>
      </c>
      <c r="O66" s="53">
        <f t="shared" si="8"/>
        <v>0</v>
      </c>
      <c r="P66" s="54">
        <f t="shared" si="9"/>
        <v>0</v>
      </c>
      <c r="Q66" s="54">
        <f t="shared" si="10"/>
        <v>0</v>
      </c>
      <c r="R66" s="17">
        <v>30</v>
      </c>
      <c r="S66" s="17">
        <f>0.3/30</f>
        <v>0.01</v>
      </c>
      <c r="T66" s="57">
        <f t="shared" si="2"/>
        <v>1</v>
      </c>
      <c r="U66" s="17">
        <v>0</v>
      </c>
      <c r="V66" s="17" t="s">
        <v>164</v>
      </c>
      <c r="W66" s="58" t="s">
        <v>270</v>
      </c>
      <c r="AB66" s="58" t="s">
        <v>19</v>
      </c>
      <c r="AC66" s="17">
        <f>0.297/30</f>
        <v>0.009899999999999999</v>
      </c>
      <c r="AD66" s="58"/>
      <c r="AE66" s="17">
        <f>0.367/30</f>
        <v>0.012233333333333334</v>
      </c>
      <c r="AF66" s="58" t="s">
        <v>271</v>
      </c>
    </row>
    <row r="67" spans="1:32" s="17" customFormat="1" ht="31.5" customHeight="1">
      <c r="A67" s="76" t="s">
        <v>72</v>
      </c>
      <c r="B67" s="81"/>
      <c r="C67" s="79"/>
      <c r="D67" s="51"/>
      <c r="E67" s="51"/>
      <c r="F67" s="51"/>
      <c r="G67" s="51"/>
      <c r="H67" s="52">
        <f t="shared" si="11"/>
        <v>0</v>
      </c>
      <c r="I67" s="52">
        <f t="shared" si="12"/>
        <v>0</v>
      </c>
      <c r="J67" s="53">
        <f t="shared" si="3"/>
        <v>0</v>
      </c>
      <c r="K67" s="54">
        <f t="shared" si="4"/>
        <v>0</v>
      </c>
      <c r="L67" s="55">
        <f t="shared" si="5"/>
        <v>0</v>
      </c>
      <c r="M67" s="55">
        <f t="shared" si="6"/>
        <v>0</v>
      </c>
      <c r="N67" s="55">
        <f t="shared" si="7"/>
        <v>0</v>
      </c>
      <c r="O67" s="53">
        <f t="shared" si="8"/>
        <v>0</v>
      </c>
      <c r="P67" s="54">
        <f t="shared" si="9"/>
        <v>0</v>
      </c>
      <c r="Q67" s="54">
        <f t="shared" si="10"/>
        <v>0</v>
      </c>
      <c r="R67" s="17">
        <v>10</v>
      </c>
      <c r="S67" s="17">
        <f>5.98/1000</f>
        <v>0.00598</v>
      </c>
      <c r="T67" s="57">
        <f t="shared" si="2"/>
        <v>0.598</v>
      </c>
      <c r="U67" s="15">
        <v>0.1</v>
      </c>
      <c r="V67" s="17" t="s">
        <v>164</v>
      </c>
      <c r="W67" s="58" t="s">
        <v>272</v>
      </c>
      <c r="AB67" s="58" t="s">
        <v>19</v>
      </c>
      <c r="AC67" s="17">
        <f>6.67/1000</f>
        <v>0.00667</v>
      </c>
      <c r="AD67" s="58"/>
      <c r="AE67" s="17">
        <f>2.8/250</f>
        <v>0.0112</v>
      </c>
      <c r="AF67" s="58" t="s">
        <v>273</v>
      </c>
    </row>
    <row r="68" spans="1:32" s="17" customFormat="1" ht="31.5" customHeight="1">
      <c r="A68" s="76" t="s">
        <v>73</v>
      </c>
      <c r="B68" s="81"/>
      <c r="C68" s="79"/>
      <c r="D68" s="51"/>
      <c r="E68" s="51"/>
      <c r="F68" s="51"/>
      <c r="G68" s="51"/>
      <c r="H68" s="52">
        <f t="shared" si="11"/>
        <v>0</v>
      </c>
      <c r="I68" s="52">
        <f t="shared" si="12"/>
        <v>0</v>
      </c>
      <c r="J68" s="53">
        <f t="shared" si="3"/>
        <v>0</v>
      </c>
      <c r="K68" s="54">
        <f t="shared" si="4"/>
        <v>0</v>
      </c>
      <c r="L68" s="55">
        <f t="shared" si="5"/>
        <v>0</v>
      </c>
      <c r="M68" s="55">
        <f t="shared" si="6"/>
        <v>0</v>
      </c>
      <c r="N68" s="55">
        <f t="shared" si="7"/>
        <v>0</v>
      </c>
      <c r="O68" s="53">
        <f t="shared" si="8"/>
        <v>0</v>
      </c>
      <c r="P68" s="54">
        <f t="shared" si="9"/>
        <v>0</v>
      </c>
      <c r="Q68" s="54">
        <f t="shared" si="10"/>
        <v>0</v>
      </c>
      <c r="R68" s="17">
        <v>5</v>
      </c>
      <c r="S68" s="17">
        <f>18.34/1000</f>
        <v>0.01834</v>
      </c>
      <c r="T68" s="57">
        <f t="shared" si="2"/>
        <v>1.8339999999999999</v>
      </c>
      <c r="U68" s="15">
        <v>0.1</v>
      </c>
      <c r="V68" s="17" t="s">
        <v>164</v>
      </c>
      <c r="W68" s="58" t="s">
        <v>274</v>
      </c>
      <c r="AB68" s="58" t="s">
        <v>19</v>
      </c>
      <c r="AC68" s="17">
        <f>11.12/1000</f>
        <v>0.01112</v>
      </c>
      <c r="AD68" s="58"/>
      <c r="AE68" s="17">
        <f>2.8/250</f>
        <v>0.0112</v>
      </c>
      <c r="AF68" s="58" t="s">
        <v>273</v>
      </c>
    </row>
    <row r="69" spans="1:32" s="17" customFormat="1" ht="31.5" customHeight="1">
      <c r="A69" s="76" t="s">
        <v>74</v>
      </c>
      <c r="B69" s="81"/>
      <c r="C69" s="79"/>
      <c r="D69" s="51"/>
      <c r="E69" s="51"/>
      <c r="F69" s="51"/>
      <c r="G69" s="51"/>
      <c r="H69" s="52">
        <f t="shared" si="11"/>
        <v>0</v>
      </c>
      <c r="I69" s="52">
        <f t="shared" si="12"/>
        <v>0</v>
      </c>
      <c r="J69" s="53">
        <f t="shared" si="3"/>
        <v>0</v>
      </c>
      <c r="K69" s="54">
        <f t="shared" si="4"/>
        <v>0</v>
      </c>
      <c r="L69" s="55">
        <f t="shared" si="5"/>
        <v>0</v>
      </c>
      <c r="M69" s="55">
        <f t="shared" si="6"/>
        <v>0</v>
      </c>
      <c r="N69" s="55">
        <f t="shared" si="7"/>
        <v>0</v>
      </c>
      <c r="O69" s="53">
        <f t="shared" si="8"/>
        <v>0</v>
      </c>
      <c r="P69" s="54">
        <f t="shared" si="9"/>
        <v>0</v>
      </c>
      <c r="Q69" s="54">
        <f t="shared" si="10"/>
        <v>0</v>
      </c>
      <c r="R69" s="61">
        <v>5</v>
      </c>
      <c r="S69" s="17">
        <f>4/1000</f>
        <v>0.004</v>
      </c>
      <c r="T69" s="57">
        <f t="shared" si="2"/>
        <v>0.4</v>
      </c>
      <c r="U69" s="17">
        <v>0</v>
      </c>
      <c r="V69" s="17" t="s">
        <v>164</v>
      </c>
      <c r="W69" s="58" t="s">
        <v>275</v>
      </c>
      <c r="AB69" s="58" t="s">
        <v>19</v>
      </c>
      <c r="AC69" s="17">
        <f>4/1000</f>
        <v>0.004</v>
      </c>
      <c r="AD69" s="58"/>
      <c r="AE69" s="17">
        <f>7.5/1000</f>
        <v>0.0075</v>
      </c>
      <c r="AF69" s="58" t="s">
        <v>276</v>
      </c>
    </row>
    <row r="70" spans="1:32" s="17" customFormat="1" ht="31.5" customHeight="1">
      <c r="A70" s="76" t="s">
        <v>75</v>
      </c>
      <c r="B70" s="81"/>
      <c r="C70" s="79"/>
      <c r="D70" s="51"/>
      <c r="E70" s="51"/>
      <c r="F70" s="51"/>
      <c r="G70" s="51"/>
      <c r="H70" s="52">
        <f t="shared" si="11"/>
        <v>0</v>
      </c>
      <c r="I70" s="52">
        <f t="shared" si="12"/>
        <v>0</v>
      </c>
      <c r="J70" s="53">
        <f t="shared" si="3"/>
        <v>0</v>
      </c>
      <c r="K70" s="54">
        <f t="shared" si="4"/>
        <v>0</v>
      </c>
      <c r="L70" s="55">
        <f t="shared" si="5"/>
        <v>0</v>
      </c>
      <c r="M70" s="55">
        <f t="shared" si="6"/>
        <v>0</v>
      </c>
      <c r="N70" s="55">
        <f t="shared" si="7"/>
        <v>0</v>
      </c>
      <c r="O70" s="53">
        <f t="shared" si="8"/>
        <v>0</v>
      </c>
      <c r="P70" s="54">
        <f t="shared" si="9"/>
        <v>0</v>
      </c>
      <c r="Q70" s="54">
        <f t="shared" si="10"/>
        <v>0</v>
      </c>
      <c r="R70" s="17">
        <v>5</v>
      </c>
      <c r="S70" s="17">
        <f>5.42/1000</f>
        <v>0.00542</v>
      </c>
      <c r="T70" s="57">
        <f t="shared" si="2"/>
        <v>0.542</v>
      </c>
      <c r="U70" s="15">
        <v>0</v>
      </c>
      <c r="V70" s="17" t="s">
        <v>164</v>
      </c>
      <c r="W70" s="58" t="s">
        <v>277</v>
      </c>
      <c r="AB70" s="58" t="s">
        <v>19</v>
      </c>
      <c r="AC70" s="17">
        <f>6.67/1000</f>
        <v>0.00667</v>
      </c>
      <c r="AD70" s="58"/>
      <c r="AE70" s="17">
        <f>8.89/1000</f>
        <v>0.00889</v>
      </c>
      <c r="AF70" s="58" t="s">
        <v>278</v>
      </c>
    </row>
    <row r="71" spans="1:32" s="17" customFormat="1" ht="31.5" customHeight="1">
      <c r="A71" s="77" t="s">
        <v>76</v>
      </c>
      <c r="B71" s="81"/>
      <c r="C71" s="79"/>
      <c r="D71" s="51"/>
      <c r="E71" s="51"/>
      <c r="F71" s="51"/>
      <c r="G71" s="51"/>
      <c r="H71" s="52">
        <f t="shared" si="11"/>
        <v>0</v>
      </c>
      <c r="I71" s="52">
        <f t="shared" si="12"/>
        <v>0</v>
      </c>
      <c r="J71" s="53">
        <f t="shared" si="3"/>
        <v>0</v>
      </c>
      <c r="K71" s="54">
        <f t="shared" si="4"/>
        <v>0</v>
      </c>
      <c r="L71" s="55">
        <f t="shared" si="5"/>
        <v>0</v>
      </c>
      <c r="M71" s="55">
        <f t="shared" si="6"/>
        <v>0</v>
      </c>
      <c r="N71" s="55">
        <f t="shared" si="7"/>
        <v>0</v>
      </c>
      <c r="O71" s="53">
        <f t="shared" si="8"/>
        <v>0</v>
      </c>
      <c r="P71" s="54">
        <f t="shared" si="9"/>
        <v>0</v>
      </c>
      <c r="Q71" s="54">
        <f t="shared" si="10"/>
        <v>0</v>
      </c>
      <c r="R71" s="61">
        <v>90</v>
      </c>
      <c r="S71" s="17">
        <f>4/1000</f>
        <v>0.004</v>
      </c>
      <c r="T71" s="57">
        <f t="shared" si="2"/>
        <v>0.4</v>
      </c>
      <c r="U71" s="17">
        <v>0.5</v>
      </c>
      <c r="V71" s="17" t="s">
        <v>279</v>
      </c>
      <c r="W71" s="58" t="s">
        <v>280</v>
      </c>
      <c r="AB71" s="58" t="s">
        <v>19</v>
      </c>
      <c r="AC71" s="17">
        <f>6/1000</f>
        <v>0.006</v>
      </c>
      <c r="AD71" s="58"/>
      <c r="AE71" s="17">
        <f>7.4/1000</f>
        <v>0.0074</v>
      </c>
      <c r="AF71" s="58" t="s">
        <v>281</v>
      </c>
    </row>
    <row r="72" spans="1:32" s="17" customFormat="1" ht="31.5" customHeight="1">
      <c r="A72" s="75" t="s">
        <v>77</v>
      </c>
      <c r="B72" s="81"/>
      <c r="C72" s="79"/>
      <c r="D72" s="51"/>
      <c r="E72" s="51"/>
      <c r="F72" s="51"/>
      <c r="G72" s="51"/>
      <c r="H72" s="52">
        <f t="shared" si="11"/>
        <v>0</v>
      </c>
      <c r="I72" s="52">
        <f t="shared" si="12"/>
        <v>0</v>
      </c>
      <c r="J72" s="53">
        <f t="shared" si="3"/>
        <v>0</v>
      </c>
      <c r="K72" s="54">
        <f t="shared" si="4"/>
        <v>0</v>
      </c>
      <c r="L72" s="55">
        <f t="shared" si="5"/>
        <v>0</v>
      </c>
      <c r="M72" s="55">
        <f t="shared" si="6"/>
        <v>0</v>
      </c>
      <c r="N72" s="55">
        <f t="shared" si="7"/>
        <v>0</v>
      </c>
      <c r="O72" s="53">
        <f t="shared" si="8"/>
        <v>0</v>
      </c>
      <c r="P72" s="54">
        <f t="shared" si="9"/>
        <v>0</v>
      </c>
      <c r="Q72" s="54">
        <f t="shared" si="10"/>
        <v>0</v>
      </c>
      <c r="R72" s="61">
        <v>1</v>
      </c>
      <c r="S72" s="17">
        <f>19.34/1000</f>
        <v>0.01934</v>
      </c>
      <c r="T72" s="57">
        <f t="shared" si="2"/>
        <v>1.934</v>
      </c>
      <c r="U72" s="15">
        <v>0</v>
      </c>
      <c r="V72" s="17" t="s">
        <v>164</v>
      </c>
      <c r="W72" s="58" t="s">
        <v>282</v>
      </c>
      <c r="AB72" s="58" t="s">
        <v>19</v>
      </c>
      <c r="AC72" s="17">
        <f>17.94/1000</f>
        <v>0.01794</v>
      </c>
      <c r="AD72" s="58"/>
      <c r="AE72" s="17">
        <f>21.67/1000</f>
        <v>0.021670000000000002</v>
      </c>
      <c r="AF72" s="58" t="s">
        <v>283</v>
      </c>
    </row>
    <row r="73" spans="1:32" s="17" customFormat="1" ht="31.5" customHeight="1">
      <c r="A73" s="76" t="s">
        <v>78</v>
      </c>
      <c r="B73" s="81"/>
      <c r="C73" s="79"/>
      <c r="D73" s="51"/>
      <c r="E73" s="51"/>
      <c r="F73" s="51"/>
      <c r="G73" s="51"/>
      <c r="H73" s="52">
        <f t="shared" si="11"/>
        <v>0</v>
      </c>
      <c r="I73" s="52">
        <f t="shared" si="12"/>
        <v>0</v>
      </c>
      <c r="J73" s="53">
        <f t="shared" si="3"/>
        <v>0</v>
      </c>
      <c r="K73" s="54">
        <f t="shared" si="4"/>
        <v>0</v>
      </c>
      <c r="L73" s="55">
        <f t="shared" si="5"/>
        <v>0</v>
      </c>
      <c r="M73" s="55">
        <f t="shared" si="6"/>
        <v>0</v>
      </c>
      <c r="N73" s="55">
        <f t="shared" si="7"/>
        <v>0</v>
      </c>
      <c r="O73" s="53">
        <f t="shared" si="8"/>
        <v>0</v>
      </c>
      <c r="P73" s="54">
        <f t="shared" si="9"/>
        <v>0</v>
      </c>
      <c r="Q73" s="54">
        <f t="shared" si="10"/>
        <v>0</v>
      </c>
      <c r="R73" s="15">
        <v>1</v>
      </c>
      <c r="S73" s="17">
        <f>13.34/1000</f>
        <v>0.01334</v>
      </c>
      <c r="T73" s="57">
        <f t="shared" si="2"/>
        <v>1.3339999999999999</v>
      </c>
      <c r="U73" s="17">
        <v>0.6</v>
      </c>
      <c r="V73" s="17" t="s">
        <v>166</v>
      </c>
      <c r="W73" s="58" t="s">
        <v>210</v>
      </c>
      <c r="AB73" s="58" t="s">
        <v>41</v>
      </c>
      <c r="AC73" s="17">
        <f>13.34/1000</f>
        <v>0.01334</v>
      </c>
      <c r="AD73" s="58"/>
      <c r="AE73" s="17">
        <f>22/1000</f>
        <v>0.022</v>
      </c>
      <c r="AF73" s="58" t="s">
        <v>211</v>
      </c>
    </row>
    <row r="74" spans="1:32" s="17" customFormat="1" ht="31.5" customHeight="1">
      <c r="A74" s="76" t="s">
        <v>79</v>
      </c>
      <c r="B74" s="81"/>
      <c r="C74" s="79"/>
      <c r="D74" s="51"/>
      <c r="E74" s="51"/>
      <c r="F74" s="51"/>
      <c r="G74" s="51"/>
      <c r="H74" s="52">
        <f t="shared" si="11"/>
        <v>0</v>
      </c>
      <c r="I74" s="52">
        <f t="shared" si="12"/>
        <v>0</v>
      </c>
      <c r="J74" s="53">
        <f t="shared" si="3"/>
        <v>0</v>
      </c>
      <c r="K74" s="54">
        <f t="shared" si="4"/>
        <v>0</v>
      </c>
      <c r="L74" s="55">
        <f t="shared" si="5"/>
        <v>0</v>
      </c>
      <c r="M74" s="55">
        <f t="shared" si="6"/>
        <v>0</v>
      </c>
      <c r="N74" s="55">
        <f t="shared" si="7"/>
        <v>0</v>
      </c>
      <c r="O74" s="53">
        <f t="shared" si="8"/>
        <v>0</v>
      </c>
      <c r="P74" s="54">
        <f t="shared" si="9"/>
        <v>0</v>
      </c>
      <c r="Q74" s="54">
        <f t="shared" si="10"/>
        <v>0</v>
      </c>
      <c r="R74" s="17">
        <v>50</v>
      </c>
      <c r="S74" s="17">
        <f>3.6/1000</f>
        <v>0.0036</v>
      </c>
      <c r="T74" s="57">
        <f t="shared" si="2"/>
        <v>0.36</v>
      </c>
      <c r="U74" s="17">
        <v>0</v>
      </c>
      <c r="V74" s="17" t="s">
        <v>164</v>
      </c>
      <c r="W74" s="58" t="s">
        <v>285</v>
      </c>
      <c r="AB74" s="58" t="s">
        <v>19</v>
      </c>
      <c r="AC74" s="17">
        <v>0.0035</v>
      </c>
      <c r="AD74" s="58"/>
      <c r="AE74" s="17">
        <f>1.8/500</f>
        <v>0.0036</v>
      </c>
      <c r="AF74" s="58" t="s">
        <v>284</v>
      </c>
    </row>
    <row r="75" spans="1:32" s="17" customFormat="1" ht="31.5" customHeight="1">
      <c r="A75" s="76" t="s">
        <v>80</v>
      </c>
      <c r="B75" s="81"/>
      <c r="C75" s="79"/>
      <c r="D75" s="51"/>
      <c r="E75" s="51"/>
      <c r="F75" s="51"/>
      <c r="G75" s="51"/>
      <c r="H75" s="52">
        <f t="shared" si="11"/>
        <v>0</v>
      </c>
      <c r="I75" s="52">
        <f t="shared" si="12"/>
        <v>0</v>
      </c>
      <c r="J75" s="53">
        <f t="shared" si="3"/>
        <v>0</v>
      </c>
      <c r="K75" s="54">
        <f t="shared" si="4"/>
        <v>0</v>
      </c>
      <c r="L75" s="55">
        <f t="shared" si="5"/>
        <v>0</v>
      </c>
      <c r="M75" s="55">
        <f t="shared" si="6"/>
        <v>0</v>
      </c>
      <c r="N75" s="55">
        <f t="shared" si="7"/>
        <v>0</v>
      </c>
      <c r="O75" s="53">
        <f t="shared" si="8"/>
        <v>0</v>
      </c>
      <c r="P75" s="54">
        <f t="shared" si="9"/>
        <v>0</v>
      </c>
      <c r="Q75" s="54">
        <f t="shared" si="10"/>
        <v>0</v>
      </c>
      <c r="R75" s="58">
        <v>4</v>
      </c>
      <c r="S75" s="17">
        <f>18.34/1000</f>
        <v>0.01834</v>
      </c>
      <c r="T75" s="57">
        <f t="shared" si="2"/>
        <v>1.8339999999999999</v>
      </c>
      <c r="U75" s="17">
        <v>0.4</v>
      </c>
      <c r="V75" s="17" t="s">
        <v>169</v>
      </c>
      <c r="W75" s="58"/>
      <c r="AB75" s="58" t="s">
        <v>82</v>
      </c>
      <c r="AC75" s="17">
        <f>11.12/1000</f>
        <v>0.01112</v>
      </c>
      <c r="AD75" s="58"/>
      <c r="AE75" s="17">
        <f>2.8/250</f>
        <v>0.0112</v>
      </c>
      <c r="AF75" s="17" t="s">
        <v>169</v>
      </c>
    </row>
    <row r="76" spans="1:32" s="17" customFormat="1" ht="31.5" customHeight="1">
      <c r="A76" s="76" t="s">
        <v>81</v>
      </c>
      <c r="B76" s="82"/>
      <c r="C76" s="79"/>
      <c r="D76" s="51"/>
      <c r="E76" s="51"/>
      <c r="F76" s="51"/>
      <c r="G76" s="51"/>
      <c r="H76" s="52">
        <f t="shared" si="11"/>
        <v>0</v>
      </c>
      <c r="I76" s="52">
        <f t="shared" si="12"/>
        <v>0</v>
      </c>
      <c r="J76" s="53">
        <f t="shared" si="3"/>
        <v>0</v>
      </c>
      <c r="K76" s="54">
        <f t="shared" si="4"/>
        <v>0</v>
      </c>
      <c r="L76" s="55">
        <f t="shared" si="5"/>
        <v>0</v>
      </c>
      <c r="M76" s="55">
        <f t="shared" si="6"/>
        <v>0</v>
      </c>
      <c r="N76" s="55">
        <f t="shared" si="7"/>
        <v>0</v>
      </c>
      <c r="O76" s="53">
        <f t="shared" si="8"/>
        <v>0</v>
      </c>
      <c r="P76" s="54">
        <f t="shared" si="9"/>
        <v>0</v>
      </c>
      <c r="Q76" s="54">
        <f t="shared" si="10"/>
        <v>0</v>
      </c>
      <c r="R76" s="61">
        <v>250</v>
      </c>
      <c r="S76" s="17">
        <f>5/1000</f>
        <v>0.005</v>
      </c>
      <c r="T76" s="57">
        <f t="shared" si="2"/>
        <v>0.5</v>
      </c>
      <c r="U76" s="17">
        <v>0</v>
      </c>
      <c r="V76" s="17" t="s">
        <v>212</v>
      </c>
      <c r="W76" s="58" t="s">
        <v>286</v>
      </c>
      <c r="AB76" s="58" t="s">
        <v>84</v>
      </c>
      <c r="AC76" s="17">
        <v>0.004</v>
      </c>
      <c r="AD76" s="58"/>
      <c r="AE76" s="17">
        <f>9.45/1000</f>
        <v>0.00945</v>
      </c>
      <c r="AF76" s="58" t="s">
        <v>287</v>
      </c>
    </row>
    <row r="77" spans="1:32" s="17" customFormat="1" ht="31.5" customHeight="1">
      <c r="A77" s="77" t="s">
        <v>83</v>
      </c>
      <c r="B77" s="81"/>
      <c r="C77" s="79"/>
      <c r="D77" s="51"/>
      <c r="E77" s="51"/>
      <c r="F77" s="51"/>
      <c r="G77" s="51"/>
      <c r="H77" s="52">
        <f t="shared" si="11"/>
        <v>0</v>
      </c>
      <c r="I77" s="52">
        <f t="shared" si="12"/>
        <v>0</v>
      </c>
      <c r="J77" s="53">
        <f t="shared" si="3"/>
        <v>0</v>
      </c>
      <c r="K77" s="54">
        <f t="shared" si="4"/>
        <v>0</v>
      </c>
      <c r="L77" s="55">
        <f t="shared" si="5"/>
        <v>0</v>
      </c>
      <c r="M77" s="55">
        <f t="shared" si="6"/>
        <v>0</v>
      </c>
      <c r="N77" s="55">
        <f t="shared" si="7"/>
        <v>0</v>
      </c>
      <c r="O77" s="53">
        <f t="shared" si="8"/>
        <v>0</v>
      </c>
      <c r="P77" s="54">
        <f t="shared" si="9"/>
        <v>0</v>
      </c>
      <c r="Q77" s="54">
        <f t="shared" si="10"/>
        <v>0</v>
      </c>
      <c r="R77" s="17">
        <v>75</v>
      </c>
      <c r="S77" s="17">
        <f>0.2/75</f>
        <v>0.002666666666666667</v>
      </c>
      <c r="T77" s="57">
        <f t="shared" si="2"/>
        <v>0.2666666666666667</v>
      </c>
      <c r="U77" s="17">
        <v>1</v>
      </c>
      <c r="V77" s="17" t="s">
        <v>212</v>
      </c>
      <c r="W77" s="58" t="s">
        <v>288</v>
      </c>
      <c r="AB77" s="58" t="s">
        <v>84</v>
      </c>
      <c r="AC77" s="17">
        <f>0.2/75</f>
        <v>0.002666666666666667</v>
      </c>
      <c r="AD77" s="58"/>
      <c r="AE77" s="17">
        <f>0.475/75</f>
        <v>0.006333333333333333</v>
      </c>
      <c r="AF77" s="58" t="s">
        <v>289</v>
      </c>
    </row>
    <row r="78" spans="1:32" s="17" customFormat="1" ht="31.5" customHeight="1">
      <c r="A78" s="76" t="s">
        <v>85</v>
      </c>
      <c r="B78" s="81"/>
      <c r="C78" s="79"/>
      <c r="D78" s="51"/>
      <c r="E78" s="51"/>
      <c r="F78" s="51"/>
      <c r="G78" s="51"/>
      <c r="H78" s="52">
        <f t="shared" si="11"/>
        <v>0</v>
      </c>
      <c r="I78" s="52">
        <f t="shared" si="12"/>
        <v>0</v>
      </c>
      <c r="J78" s="53">
        <f t="shared" si="3"/>
        <v>0</v>
      </c>
      <c r="K78" s="54">
        <f t="shared" si="4"/>
        <v>0</v>
      </c>
      <c r="L78" s="55">
        <f t="shared" si="5"/>
        <v>0</v>
      </c>
      <c r="M78" s="55">
        <f t="shared" si="6"/>
        <v>0</v>
      </c>
      <c r="N78" s="55">
        <f t="shared" si="7"/>
        <v>0</v>
      </c>
      <c r="O78" s="53">
        <f t="shared" si="8"/>
        <v>0</v>
      </c>
      <c r="P78" s="54">
        <f t="shared" si="9"/>
        <v>0</v>
      </c>
      <c r="Q78" s="54">
        <f t="shared" si="10"/>
        <v>0</v>
      </c>
      <c r="R78" s="15">
        <v>150</v>
      </c>
      <c r="S78" s="17">
        <f>7.5/1000</f>
        <v>0.0075</v>
      </c>
      <c r="T78" s="57">
        <f t="shared" si="2"/>
        <v>0.75</v>
      </c>
      <c r="U78" s="17">
        <v>0</v>
      </c>
      <c r="V78" s="17" t="s">
        <v>165</v>
      </c>
      <c r="W78" s="58" t="s">
        <v>290</v>
      </c>
      <c r="AB78" s="58" t="s">
        <v>84</v>
      </c>
      <c r="AC78" s="17">
        <f>1.2/150</f>
        <v>0.008</v>
      </c>
      <c r="AD78" s="58"/>
      <c r="AE78" s="17">
        <f>1.95/150</f>
        <v>0.013</v>
      </c>
      <c r="AF78" s="58" t="s">
        <v>291</v>
      </c>
    </row>
    <row r="79" spans="1:32" s="17" customFormat="1" ht="31.5" customHeight="1">
      <c r="A79" s="75" t="s">
        <v>86</v>
      </c>
      <c r="B79" s="81"/>
      <c r="C79" s="79"/>
      <c r="D79" s="51"/>
      <c r="E79" s="51"/>
      <c r="F79" s="51"/>
      <c r="G79" s="51"/>
      <c r="H79" s="52">
        <f t="shared" si="11"/>
        <v>0</v>
      </c>
      <c r="I79" s="52">
        <f t="shared" si="12"/>
        <v>0</v>
      </c>
      <c r="J79" s="53">
        <f t="shared" si="3"/>
        <v>0</v>
      </c>
      <c r="K79" s="54">
        <f t="shared" si="4"/>
        <v>0</v>
      </c>
      <c r="L79" s="55">
        <f t="shared" si="5"/>
        <v>0</v>
      </c>
      <c r="M79" s="55">
        <f t="shared" si="6"/>
        <v>0</v>
      </c>
      <c r="N79" s="55">
        <f t="shared" si="7"/>
        <v>0</v>
      </c>
      <c r="O79" s="53">
        <f t="shared" si="8"/>
        <v>0</v>
      </c>
      <c r="P79" s="54">
        <f t="shared" si="9"/>
        <v>0</v>
      </c>
      <c r="Q79" s="54">
        <f t="shared" si="10"/>
        <v>0</v>
      </c>
      <c r="R79" s="17">
        <v>150</v>
      </c>
      <c r="S79" s="17">
        <f>2.6/1000</f>
        <v>0.0026</v>
      </c>
      <c r="T79" s="57">
        <f t="shared" si="2"/>
        <v>0.26</v>
      </c>
      <c r="U79" s="17">
        <v>0</v>
      </c>
      <c r="V79" s="17" t="s">
        <v>212</v>
      </c>
      <c r="W79" s="58" t="s">
        <v>292</v>
      </c>
      <c r="AB79" s="58" t="s">
        <v>19</v>
      </c>
      <c r="AC79" s="17">
        <f>2.3/1000</f>
        <v>0.0023</v>
      </c>
      <c r="AD79" s="58"/>
      <c r="AE79" s="17">
        <f>5.72/1000</f>
        <v>0.005719999999999999</v>
      </c>
      <c r="AF79" s="58" t="s">
        <v>293</v>
      </c>
    </row>
    <row r="80" spans="1:32" s="17" customFormat="1" ht="31.5" customHeight="1">
      <c r="A80" s="76" t="s">
        <v>87</v>
      </c>
      <c r="B80" s="81"/>
      <c r="C80" s="79"/>
      <c r="D80" s="51"/>
      <c r="E80" s="51"/>
      <c r="F80" s="51"/>
      <c r="G80" s="51"/>
      <c r="H80" s="52">
        <f t="shared" si="11"/>
        <v>0</v>
      </c>
      <c r="I80" s="52">
        <f t="shared" si="12"/>
        <v>0</v>
      </c>
      <c r="J80" s="53">
        <f t="shared" si="3"/>
        <v>0</v>
      </c>
      <c r="K80" s="54">
        <f t="shared" si="4"/>
        <v>0</v>
      </c>
      <c r="L80" s="55">
        <f t="shared" si="5"/>
        <v>0</v>
      </c>
      <c r="M80" s="55">
        <f t="shared" si="6"/>
        <v>0</v>
      </c>
      <c r="N80" s="55">
        <f t="shared" si="7"/>
        <v>0</v>
      </c>
      <c r="O80" s="53">
        <f t="shared" si="8"/>
        <v>0</v>
      </c>
      <c r="P80" s="54">
        <f t="shared" si="9"/>
        <v>0</v>
      </c>
      <c r="Q80" s="54">
        <f t="shared" si="10"/>
        <v>0</v>
      </c>
      <c r="R80" s="17">
        <v>80</v>
      </c>
      <c r="S80" s="17">
        <f>0.35/80</f>
        <v>0.0043749999999999995</v>
      </c>
      <c r="T80" s="57">
        <f t="shared" si="2"/>
        <v>0.43749999999999994</v>
      </c>
      <c r="U80" s="17">
        <v>0.2</v>
      </c>
      <c r="V80" s="17" t="s">
        <v>212</v>
      </c>
      <c r="W80" s="58" t="s">
        <v>294</v>
      </c>
      <c r="AB80" s="58" t="s">
        <v>19</v>
      </c>
      <c r="AC80" s="17">
        <f>0.39/80</f>
        <v>0.004875</v>
      </c>
      <c r="AD80" s="58"/>
      <c r="AE80" s="17">
        <f>0.667/80</f>
        <v>0.008337500000000001</v>
      </c>
      <c r="AF80" s="58" t="s">
        <v>295</v>
      </c>
    </row>
    <row r="81" spans="1:32" s="17" customFormat="1" ht="31.5" customHeight="1">
      <c r="A81" s="75" t="s">
        <v>160</v>
      </c>
      <c r="B81" s="82"/>
      <c r="C81" s="79"/>
      <c r="D81" s="51"/>
      <c r="E81" s="51"/>
      <c r="F81" s="51"/>
      <c r="G81" s="51"/>
      <c r="H81" s="52">
        <f t="shared" si="11"/>
        <v>0</v>
      </c>
      <c r="I81" s="52">
        <f t="shared" si="12"/>
        <v>0</v>
      </c>
      <c r="J81" s="53">
        <f t="shared" si="3"/>
        <v>0</v>
      </c>
      <c r="K81" s="54">
        <f t="shared" si="4"/>
        <v>0</v>
      </c>
      <c r="L81" s="55">
        <f t="shared" si="5"/>
        <v>0</v>
      </c>
      <c r="M81" s="55">
        <f t="shared" si="6"/>
        <v>0</v>
      </c>
      <c r="N81" s="55">
        <f t="shared" si="7"/>
        <v>0</v>
      </c>
      <c r="O81" s="53">
        <f t="shared" si="8"/>
        <v>0</v>
      </c>
      <c r="P81" s="54">
        <f t="shared" si="9"/>
        <v>0</v>
      </c>
      <c r="Q81" s="54">
        <f t="shared" si="10"/>
        <v>0</v>
      </c>
      <c r="R81" s="17">
        <v>1</v>
      </c>
      <c r="S81" s="17">
        <f>1/100</f>
        <v>0.01</v>
      </c>
      <c r="T81" s="57">
        <f t="shared" si="2"/>
        <v>1</v>
      </c>
      <c r="U81" s="17">
        <v>0</v>
      </c>
      <c r="V81" s="17" t="s">
        <v>212</v>
      </c>
      <c r="W81" s="58" t="s">
        <v>297</v>
      </c>
      <c r="AB81" s="58" t="s">
        <v>19</v>
      </c>
      <c r="AC81" s="17">
        <f>1/100</f>
        <v>0.01</v>
      </c>
      <c r="AD81" s="58"/>
      <c r="AE81" s="17">
        <f>1.82/100</f>
        <v>0.0182</v>
      </c>
      <c r="AF81" s="58" t="s">
        <v>296</v>
      </c>
    </row>
    <row r="82" spans="1:32" s="17" customFormat="1" ht="31.5" customHeight="1">
      <c r="A82" s="76" t="s">
        <v>88</v>
      </c>
      <c r="B82" s="81"/>
      <c r="C82" s="79"/>
      <c r="D82" s="51"/>
      <c r="E82" s="51"/>
      <c r="F82" s="51"/>
      <c r="G82" s="51"/>
      <c r="H82" s="52">
        <f t="shared" si="11"/>
        <v>0</v>
      </c>
      <c r="I82" s="52">
        <f t="shared" si="12"/>
        <v>0</v>
      </c>
      <c r="J82" s="53">
        <f t="shared" si="3"/>
        <v>0</v>
      </c>
      <c r="K82" s="54">
        <f t="shared" si="4"/>
        <v>0</v>
      </c>
      <c r="L82" s="55">
        <f t="shared" si="5"/>
        <v>0</v>
      </c>
      <c r="M82" s="55">
        <f t="shared" si="6"/>
        <v>0</v>
      </c>
      <c r="N82" s="55">
        <f t="shared" si="7"/>
        <v>0</v>
      </c>
      <c r="O82" s="53">
        <f t="shared" si="8"/>
        <v>0</v>
      </c>
      <c r="P82" s="54">
        <f t="shared" si="9"/>
        <v>0</v>
      </c>
      <c r="Q82" s="54">
        <f t="shared" si="10"/>
        <v>0</v>
      </c>
      <c r="R82" s="15">
        <v>70</v>
      </c>
      <c r="S82" s="17">
        <f>0.34/70</f>
        <v>0.004857142857142858</v>
      </c>
      <c r="T82" s="57">
        <f t="shared" si="2"/>
        <v>0.48571428571428577</v>
      </c>
      <c r="U82" s="15">
        <v>0.2</v>
      </c>
      <c r="V82" s="17" t="s">
        <v>212</v>
      </c>
      <c r="W82" s="58" t="s">
        <v>299</v>
      </c>
      <c r="AB82" s="58" t="s">
        <v>19</v>
      </c>
      <c r="AC82" s="17">
        <f>0.39/70</f>
        <v>0.005571428571428572</v>
      </c>
      <c r="AD82" s="58"/>
      <c r="AE82" s="17">
        <f>0.767/70</f>
        <v>0.010957142857142858</v>
      </c>
      <c r="AF82" s="58" t="s">
        <v>298</v>
      </c>
    </row>
    <row r="83" spans="1:33" s="17" customFormat="1" ht="31.5" customHeight="1">
      <c r="A83" s="75" t="s">
        <v>89</v>
      </c>
      <c r="B83" s="81"/>
      <c r="C83" s="79"/>
      <c r="D83" s="51"/>
      <c r="E83" s="51"/>
      <c r="F83" s="51"/>
      <c r="G83" s="51"/>
      <c r="H83" s="52">
        <f t="shared" si="11"/>
        <v>0</v>
      </c>
      <c r="I83" s="52">
        <f t="shared" si="12"/>
        <v>0</v>
      </c>
      <c r="J83" s="53">
        <f t="shared" si="3"/>
        <v>0</v>
      </c>
      <c r="K83" s="54">
        <f t="shared" si="4"/>
        <v>0</v>
      </c>
      <c r="L83" s="55">
        <f t="shared" si="5"/>
        <v>0</v>
      </c>
      <c r="M83" s="55">
        <f t="shared" si="6"/>
        <v>0</v>
      </c>
      <c r="N83" s="55">
        <f t="shared" si="7"/>
        <v>0</v>
      </c>
      <c r="O83" s="53">
        <f t="shared" si="8"/>
        <v>0</v>
      </c>
      <c r="P83" s="54">
        <f t="shared" si="9"/>
        <v>0</v>
      </c>
      <c r="Q83" s="54">
        <f t="shared" si="10"/>
        <v>0</v>
      </c>
      <c r="R83" s="61">
        <v>4</v>
      </c>
      <c r="S83" s="56">
        <f>2.5/150</f>
        <v>0.016666666666666666</v>
      </c>
      <c r="T83" s="57">
        <f t="shared" si="2"/>
        <v>1.6666666666666667</v>
      </c>
      <c r="U83" s="15">
        <v>0.1</v>
      </c>
      <c r="V83" s="17" t="s">
        <v>199</v>
      </c>
      <c r="W83" s="58" t="s">
        <v>200</v>
      </c>
      <c r="X83" s="17" t="s">
        <v>202</v>
      </c>
      <c r="AB83" s="58" t="s">
        <v>33</v>
      </c>
      <c r="AC83" s="56">
        <f>2.5/150</f>
        <v>0.016666666666666666</v>
      </c>
      <c r="AD83" s="58"/>
      <c r="AE83" s="17">
        <f>3.16/100</f>
        <v>0.0316</v>
      </c>
      <c r="AF83" s="17" t="s">
        <v>201</v>
      </c>
      <c r="AG83" s="17" t="s">
        <v>23</v>
      </c>
    </row>
    <row r="84" spans="1:32" s="72" customFormat="1" ht="31.5" customHeight="1">
      <c r="A84" s="78" t="s">
        <v>90</v>
      </c>
      <c r="B84" s="81"/>
      <c r="C84" s="79"/>
      <c r="D84" s="51"/>
      <c r="E84" s="51"/>
      <c r="F84" s="51"/>
      <c r="G84" s="51"/>
      <c r="H84" s="68">
        <f t="shared" si="11"/>
        <v>0</v>
      </c>
      <c r="I84" s="68">
        <f t="shared" si="12"/>
        <v>0</v>
      </c>
      <c r="J84" s="69">
        <f t="shared" si="3"/>
        <v>0</v>
      </c>
      <c r="K84" s="70">
        <f t="shared" si="4"/>
        <v>0</v>
      </c>
      <c r="L84" s="70">
        <f t="shared" si="5"/>
        <v>0</v>
      </c>
      <c r="M84" s="70">
        <f t="shared" si="6"/>
        <v>0</v>
      </c>
      <c r="N84" s="70">
        <f t="shared" si="7"/>
        <v>0</v>
      </c>
      <c r="O84" s="69">
        <f t="shared" si="8"/>
        <v>0</v>
      </c>
      <c r="P84" s="70">
        <f t="shared" si="9"/>
        <v>0</v>
      </c>
      <c r="Q84" s="70">
        <f t="shared" si="10"/>
        <v>0</v>
      </c>
      <c r="R84" s="71">
        <v>15</v>
      </c>
      <c r="S84" s="72">
        <f>(3.55/3)/250</f>
        <v>0.004733333333333333</v>
      </c>
      <c r="T84" s="73">
        <f t="shared" si="2"/>
        <v>0.47333333333333333</v>
      </c>
      <c r="U84" s="72">
        <v>0.5</v>
      </c>
      <c r="V84" s="72" t="s">
        <v>204</v>
      </c>
      <c r="W84" s="70" t="s">
        <v>334</v>
      </c>
      <c r="X84" s="72" t="s">
        <v>335</v>
      </c>
      <c r="AB84" s="70" t="s">
        <v>66</v>
      </c>
      <c r="AC84" s="72">
        <v>0.005</v>
      </c>
      <c r="AD84" s="70"/>
      <c r="AE84" s="72">
        <f>(3.55/3)/250</f>
        <v>0.004733333333333333</v>
      </c>
      <c r="AF84" s="70" t="s">
        <v>334</v>
      </c>
    </row>
    <row r="85" spans="1:33" s="17" customFormat="1" ht="31.5" customHeight="1">
      <c r="A85" s="77" t="s">
        <v>91</v>
      </c>
      <c r="B85" s="81"/>
      <c r="C85" s="79"/>
      <c r="D85" s="51"/>
      <c r="E85" s="51"/>
      <c r="F85" s="51"/>
      <c r="G85" s="51"/>
      <c r="H85" s="52">
        <f t="shared" si="11"/>
        <v>0</v>
      </c>
      <c r="I85" s="52">
        <f t="shared" si="12"/>
        <v>0</v>
      </c>
      <c r="J85" s="53">
        <f t="shared" si="3"/>
        <v>0</v>
      </c>
      <c r="K85" s="54">
        <f t="shared" si="4"/>
        <v>0</v>
      </c>
      <c r="L85" s="55">
        <f t="shared" si="5"/>
        <v>0</v>
      </c>
      <c r="M85" s="55">
        <f t="shared" si="6"/>
        <v>0</v>
      </c>
      <c r="N85" s="55">
        <f t="shared" si="7"/>
        <v>0</v>
      </c>
      <c r="O85" s="53">
        <f t="shared" si="8"/>
        <v>0</v>
      </c>
      <c r="P85" s="54">
        <f t="shared" si="9"/>
        <v>0</v>
      </c>
      <c r="Q85" s="54">
        <f t="shared" si="10"/>
        <v>0</v>
      </c>
      <c r="R85" s="17">
        <v>1</v>
      </c>
      <c r="S85" s="56">
        <f>13.4/1000</f>
        <v>0.0134</v>
      </c>
      <c r="T85" s="57">
        <f t="shared" si="2"/>
        <v>1.34</v>
      </c>
      <c r="U85" s="17">
        <v>0</v>
      </c>
      <c r="V85" s="17" t="s">
        <v>301</v>
      </c>
      <c r="W85" s="58" t="s">
        <v>200</v>
      </c>
      <c r="X85" s="17" t="s">
        <v>300</v>
      </c>
      <c r="AB85" s="58" t="s">
        <v>33</v>
      </c>
      <c r="AC85" s="56">
        <f>2.5/150</f>
        <v>0.016666666666666666</v>
      </c>
      <c r="AD85" s="58"/>
      <c r="AE85" s="17">
        <f>3.16/100</f>
        <v>0.0316</v>
      </c>
      <c r="AF85" s="17" t="s">
        <v>201</v>
      </c>
      <c r="AG85" s="17" t="s">
        <v>23</v>
      </c>
    </row>
    <row r="86" spans="1:32" s="17" customFormat="1" ht="31.5" customHeight="1">
      <c r="A86" s="76" t="s">
        <v>92</v>
      </c>
      <c r="B86" s="81"/>
      <c r="C86" s="79"/>
      <c r="D86" s="51"/>
      <c r="E86" s="51"/>
      <c r="F86" s="51"/>
      <c r="G86" s="51"/>
      <c r="H86" s="52">
        <f t="shared" si="11"/>
        <v>0</v>
      </c>
      <c r="I86" s="52">
        <f t="shared" si="12"/>
        <v>0</v>
      </c>
      <c r="J86" s="53">
        <f t="shared" si="3"/>
        <v>0</v>
      </c>
      <c r="K86" s="54">
        <f t="shared" si="4"/>
        <v>0</v>
      </c>
      <c r="L86" s="55">
        <f t="shared" si="5"/>
        <v>0</v>
      </c>
      <c r="M86" s="55">
        <f t="shared" si="6"/>
        <v>0</v>
      </c>
      <c r="N86" s="55">
        <f t="shared" si="7"/>
        <v>0</v>
      </c>
      <c r="O86" s="53">
        <f t="shared" si="8"/>
        <v>0</v>
      </c>
      <c r="P86" s="54">
        <f t="shared" si="9"/>
        <v>0</v>
      </c>
      <c r="Q86" s="54">
        <f t="shared" si="10"/>
        <v>0</v>
      </c>
      <c r="R86" s="61">
        <v>10</v>
      </c>
      <c r="S86" s="17">
        <f>3.34/1000</f>
        <v>0.0033399999999999997</v>
      </c>
      <c r="T86" s="17">
        <v>0.0033333333333333335</v>
      </c>
      <c r="U86" s="17">
        <v>0</v>
      </c>
      <c r="V86" s="17" t="s">
        <v>212</v>
      </c>
      <c r="W86" s="58" t="s">
        <v>302</v>
      </c>
      <c r="AB86" s="58" t="s">
        <v>19</v>
      </c>
      <c r="AC86" s="17">
        <v>0.0033333333333333335</v>
      </c>
      <c r="AD86" s="58"/>
      <c r="AE86" s="17">
        <f>4.6/1000</f>
        <v>0.0046</v>
      </c>
      <c r="AF86" s="58" t="s">
        <v>303</v>
      </c>
    </row>
    <row r="87" spans="1:32" s="17" customFormat="1" ht="31.5" customHeight="1">
      <c r="A87" s="77" t="s">
        <v>93</v>
      </c>
      <c r="B87" s="81"/>
      <c r="C87" s="79"/>
      <c r="D87" s="51"/>
      <c r="E87" s="51"/>
      <c r="F87" s="51"/>
      <c r="G87" s="51"/>
      <c r="H87" s="52">
        <f t="shared" si="11"/>
        <v>0</v>
      </c>
      <c r="I87" s="52">
        <f t="shared" si="12"/>
        <v>0</v>
      </c>
      <c r="J87" s="53">
        <f t="shared" si="3"/>
        <v>0</v>
      </c>
      <c r="K87" s="54">
        <f t="shared" si="4"/>
        <v>0</v>
      </c>
      <c r="L87" s="55">
        <f t="shared" si="5"/>
        <v>0</v>
      </c>
      <c r="M87" s="55">
        <f t="shared" si="6"/>
        <v>0</v>
      </c>
      <c r="N87" s="55">
        <f t="shared" si="7"/>
        <v>0</v>
      </c>
      <c r="O87" s="53">
        <f t="shared" si="8"/>
        <v>0</v>
      </c>
      <c r="P87" s="54">
        <f t="shared" si="9"/>
        <v>0</v>
      </c>
      <c r="Q87" s="54">
        <f t="shared" si="10"/>
        <v>0</v>
      </c>
      <c r="R87" s="17">
        <v>150</v>
      </c>
      <c r="S87" s="17">
        <f>0.8/150</f>
        <v>0.005333333333333334</v>
      </c>
      <c r="T87" s="57">
        <f aca="true" t="shared" si="13" ref="T87:T123">S87*100</f>
        <v>0.5333333333333334</v>
      </c>
      <c r="U87" s="17">
        <v>0.6</v>
      </c>
      <c r="V87" s="17" t="s">
        <v>212</v>
      </c>
      <c r="W87" s="58" t="s">
        <v>305</v>
      </c>
      <c r="AB87" s="58" t="s">
        <v>19</v>
      </c>
      <c r="AC87" s="17">
        <f>0.748/150</f>
        <v>0.004986666666666667</v>
      </c>
      <c r="AD87" s="58"/>
      <c r="AE87" s="17">
        <f>0.625/150</f>
        <v>0.004166666666666667</v>
      </c>
      <c r="AF87" s="58" t="s">
        <v>304</v>
      </c>
    </row>
    <row r="88" spans="1:32" s="17" customFormat="1" ht="31.5" customHeight="1">
      <c r="A88" s="75" t="s">
        <v>94</v>
      </c>
      <c r="B88" s="82"/>
      <c r="C88" s="79"/>
      <c r="D88" s="51"/>
      <c r="E88" s="51"/>
      <c r="F88" s="51"/>
      <c r="G88" s="51"/>
      <c r="H88" s="52">
        <f aca="true" t="shared" si="14" ref="H88:H123">P88</f>
        <v>0</v>
      </c>
      <c r="I88" s="52">
        <f aca="true" t="shared" si="15" ref="I88:I123">Q88</f>
        <v>0</v>
      </c>
      <c r="J88" s="53">
        <f t="shared" si="3"/>
        <v>0</v>
      </c>
      <c r="K88" s="54">
        <f t="shared" si="4"/>
        <v>0</v>
      </c>
      <c r="L88" s="55">
        <f t="shared" si="5"/>
        <v>0</v>
      </c>
      <c r="M88" s="55">
        <f t="shared" si="6"/>
        <v>0</v>
      </c>
      <c r="N88" s="55">
        <f t="shared" si="7"/>
        <v>0</v>
      </c>
      <c r="O88" s="53">
        <f t="shared" si="8"/>
        <v>0</v>
      </c>
      <c r="P88" s="54">
        <f t="shared" si="9"/>
        <v>0</v>
      </c>
      <c r="Q88" s="54">
        <f t="shared" si="10"/>
        <v>0</v>
      </c>
      <c r="R88" s="61">
        <v>100</v>
      </c>
      <c r="S88" s="17">
        <f>1/1000</f>
        <v>0.001</v>
      </c>
      <c r="T88" s="57">
        <f t="shared" si="13"/>
        <v>0.1</v>
      </c>
      <c r="U88" s="17">
        <v>0</v>
      </c>
      <c r="V88" s="17" t="s">
        <v>212</v>
      </c>
      <c r="W88" s="58" t="s">
        <v>306</v>
      </c>
      <c r="AB88" s="58" t="s">
        <v>96</v>
      </c>
      <c r="AC88" s="17">
        <f>1/1000</f>
        <v>0.001</v>
      </c>
      <c r="AD88" s="58"/>
      <c r="AE88" s="17">
        <f>1.87/1000</f>
        <v>0.0018700000000000001</v>
      </c>
      <c r="AF88" s="58" t="s">
        <v>307</v>
      </c>
    </row>
    <row r="89" spans="1:32" s="17" customFormat="1" ht="31.5" customHeight="1">
      <c r="A89" s="75" t="s">
        <v>95</v>
      </c>
      <c r="B89" s="82"/>
      <c r="C89" s="79"/>
      <c r="D89" s="51"/>
      <c r="E89" s="51"/>
      <c r="F89" s="51"/>
      <c r="G89" s="51"/>
      <c r="H89" s="52">
        <f t="shared" si="14"/>
        <v>0</v>
      </c>
      <c r="I89" s="52">
        <f t="shared" si="15"/>
        <v>0</v>
      </c>
      <c r="J89" s="53">
        <f aca="true" t="shared" si="16" ref="J89:J123">D89*R89</f>
        <v>0</v>
      </c>
      <c r="K89" s="54">
        <f aca="true" t="shared" si="17" ref="K89:K123">C89*28.3495</f>
        <v>0</v>
      </c>
      <c r="L89" s="55">
        <f aca="true" t="shared" si="18" ref="L89:L123">E89*100</f>
        <v>0</v>
      </c>
      <c r="M89" s="55">
        <f aca="true" t="shared" si="19" ref="M89:M123">F89*300</f>
        <v>0</v>
      </c>
      <c r="N89" s="55">
        <f aca="true" t="shared" si="20" ref="N89:N123">G89*120</f>
        <v>0</v>
      </c>
      <c r="O89" s="53">
        <f aca="true" t="shared" si="21" ref="O89:O123">B89+SUM(J89:N89)</f>
        <v>0</v>
      </c>
      <c r="P89" s="54">
        <f aca="true" t="shared" si="22" ref="P89:P123">S89*O89</f>
        <v>0</v>
      </c>
      <c r="Q89" s="54">
        <f aca="true" t="shared" si="23" ref="Q89:Q123">P89*U89</f>
        <v>0</v>
      </c>
      <c r="R89" s="61">
        <v>40</v>
      </c>
      <c r="S89" s="17">
        <f>3.25/1000</f>
        <v>0.00325</v>
      </c>
      <c r="T89" s="57">
        <f t="shared" si="13"/>
        <v>0.325</v>
      </c>
      <c r="U89" s="17">
        <v>0</v>
      </c>
      <c r="V89" s="17" t="s">
        <v>164</v>
      </c>
      <c r="W89" s="58" t="s">
        <v>309</v>
      </c>
      <c r="AB89" s="58" t="s">
        <v>19</v>
      </c>
      <c r="AC89" s="17">
        <f>4/1000</f>
        <v>0.004</v>
      </c>
      <c r="AD89" s="58"/>
      <c r="AE89" s="17">
        <f>2.85/500</f>
        <v>0.0057</v>
      </c>
      <c r="AF89" s="58" t="s">
        <v>308</v>
      </c>
    </row>
    <row r="90" spans="1:32" s="17" customFormat="1" ht="31.5" customHeight="1">
      <c r="A90" s="75" t="s">
        <v>97</v>
      </c>
      <c r="B90" s="82"/>
      <c r="C90" s="79"/>
      <c r="D90" s="51"/>
      <c r="E90" s="51"/>
      <c r="F90" s="51"/>
      <c r="G90" s="51"/>
      <c r="H90" s="52">
        <f t="shared" si="14"/>
        <v>0</v>
      </c>
      <c r="I90" s="52">
        <f t="shared" si="15"/>
        <v>0</v>
      </c>
      <c r="J90" s="53">
        <f t="shared" si="16"/>
        <v>0</v>
      </c>
      <c r="K90" s="54">
        <f t="shared" si="17"/>
        <v>0</v>
      </c>
      <c r="L90" s="55">
        <f t="shared" si="18"/>
        <v>0</v>
      </c>
      <c r="M90" s="55">
        <f t="shared" si="19"/>
        <v>0</v>
      </c>
      <c r="N90" s="55">
        <f t="shared" si="20"/>
        <v>0</v>
      </c>
      <c r="O90" s="53">
        <f t="shared" si="21"/>
        <v>0</v>
      </c>
      <c r="P90" s="54">
        <f t="shared" si="22"/>
        <v>0</v>
      </c>
      <c r="Q90" s="54">
        <f t="shared" si="23"/>
        <v>0</v>
      </c>
      <c r="R90" s="61">
        <v>14</v>
      </c>
      <c r="S90" s="17">
        <f>(0.65/9)/14</f>
        <v>0.0051587301587301595</v>
      </c>
      <c r="T90" s="57">
        <f t="shared" si="13"/>
        <v>0.5158730158730159</v>
      </c>
      <c r="U90" s="17">
        <v>0</v>
      </c>
      <c r="V90" s="17" t="s">
        <v>212</v>
      </c>
      <c r="W90" s="58" t="s">
        <v>310</v>
      </c>
      <c r="AB90" s="58" t="s">
        <v>19</v>
      </c>
      <c r="AC90" s="17">
        <f>0.6/125</f>
        <v>0.0048</v>
      </c>
      <c r="AD90" s="58"/>
      <c r="AE90" s="17">
        <f>(1.1/9)/14</f>
        <v>0.00873015873015873</v>
      </c>
      <c r="AF90" s="58" t="s">
        <v>311</v>
      </c>
    </row>
    <row r="91" spans="1:32" s="17" customFormat="1" ht="31.5" customHeight="1">
      <c r="A91" s="77" t="s">
        <v>98</v>
      </c>
      <c r="B91" s="81"/>
      <c r="C91" s="79"/>
      <c r="D91" s="51"/>
      <c r="E91" s="51"/>
      <c r="F91" s="51"/>
      <c r="G91" s="51"/>
      <c r="H91" s="52">
        <f t="shared" si="14"/>
        <v>0</v>
      </c>
      <c r="I91" s="52">
        <f t="shared" si="15"/>
        <v>0</v>
      </c>
      <c r="J91" s="53">
        <f t="shared" si="16"/>
        <v>0</v>
      </c>
      <c r="K91" s="54">
        <f t="shared" si="17"/>
        <v>0</v>
      </c>
      <c r="L91" s="55">
        <f t="shared" si="18"/>
        <v>0</v>
      </c>
      <c r="M91" s="55">
        <f t="shared" si="19"/>
        <v>0</v>
      </c>
      <c r="N91" s="55">
        <f t="shared" si="20"/>
        <v>0</v>
      </c>
      <c r="O91" s="53">
        <f t="shared" si="21"/>
        <v>0</v>
      </c>
      <c r="P91" s="54">
        <f t="shared" si="22"/>
        <v>0</v>
      </c>
      <c r="Q91" s="54">
        <f t="shared" si="23"/>
        <v>0</v>
      </c>
      <c r="R91" s="15">
        <v>50</v>
      </c>
      <c r="S91" s="17">
        <f>0.286/50</f>
        <v>0.005719999999999999</v>
      </c>
      <c r="T91" s="57">
        <f t="shared" si="13"/>
        <v>0.572</v>
      </c>
      <c r="U91" s="17">
        <v>0.1</v>
      </c>
      <c r="V91" s="17" t="s">
        <v>212</v>
      </c>
      <c r="W91" s="58" t="s">
        <v>312</v>
      </c>
      <c r="AB91" s="58" t="s">
        <v>19</v>
      </c>
      <c r="AC91" s="17">
        <f>4/1000</f>
        <v>0.004</v>
      </c>
      <c r="AD91" s="58"/>
      <c r="AE91" s="17">
        <f>0.5/50</f>
        <v>0.01</v>
      </c>
      <c r="AF91" s="58" t="s">
        <v>313</v>
      </c>
    </row>
    <row r="92" spans="1:32" s="17" customFormat="1" ht="31.5" customHeight="1">
      <c r="A92" s="75" t="s">
        <v>99</v>
      </c>
      <c r="B92" s="81"/>
      <c r="C92" s="79"/>
      <c r="D92" s="51"/>
      <c r="E92" s="51"/>
      <c r="F92" s="51"/>
      <c r="G92" s="51"/>
      <c r="H92" s="52">
        <f t="shared" si="14"/>
        <v>0</v>
      </c>
      <c r="I92" s="52">
        <f t="shared" si="15"/>
        <v>0</v>
      </c>
      <c r="J92" s="53">
        <f t="shared" si="16"/>
        <v>0</v>
      </c>
      <c r="K92" s="54">
        <f t="shared" si="17"/>
        <v>0</v>
      </c>
      <c r="L92" s="55">
        <f t="shared" si="18"/>
        <v>0</v>
      </c>
      <c r="M92" s="55">
        <f t="shared" si="19"/>
        <v>0</v>
      </c>
      <c r="N92" s="55">
        <f t="shared" si="20"/>
        <v>0</v>
      </c>
      <c r="O92" s="53">
        <f t="shared" si="21"/>
        <v>0</v>
      </c>
      <c r="P92" s="54">
        <f t="shared" si="22"/>
        <v>0</v>
      </c>
      <c r="Q92" s="54">
        <f t="shared" si="23"/>
        <v>0</v>
      </c>
      <c r="R92" s="15">
        <v>500</v>
      </c>
      <c r="S92" s="17">
        <f>1.7/1000</f>
        <v>0.0017</v>
      </c>
      <c r="T92" s="57">
        <f t="shared" si="13"/>
        <v>0.16999999999999998</v>
      </c>
      <c r="U92" s="17">
        <v>0</v>
      </c>
      <c r="V92" s="17" t="s">
        <v>212</v>
      </c>
      <c r="W92" s="58" t="s">
        <v>315</v>
      </c>
      <c r="AB92" s="58" t="s">
        <v>19</v>
      </c>
      <c r="AC92" s="17">
        <f>1.7/1000</f>
        <v>0.0017</v>
      </c>
      <c r="AD92" s="58"/>
      <c r="AE92" s="17">
        <f>2.35/350</f>
        <v>0.006714285714285714</v>
      </c>
      <c r="AF92" s="58" t="s">
        <v>314</v>
      </c>
    </row>
    <row r="93" spans="1:32" s="17" customFormat="1" ht="31.5" customHeight="1">
      <c r="A93" s="76" t="s">
        <v>100</v>
      </c>
      <c r="B93" s="81"/>
      <c r="C93" s="79"/>
      <c r="D93" s="51"/>
      <c r="E93" s="51"/>
      <c r="F93" s="51"/>
      <c r="G93" s="51"/>
      <c r="H93" s="52">
        <f t="shared" si="14"/>
        <v>0</v>
      </c>
      <c r="I93" s="52">
        <f t="shared" si="15"/>
        <v>0</v>
      </c>
      <c r="J93" s="53">
        <f t="shared" si="16"/>
        <v>0</v>
      </c>
      <c r="K93" s="54">
        <f t="shared" si="17"/>
        <v>0</v>
      </c>
      <c r="L93" s="55">
        <f t="shared" si="18"/>
        <v>0</v>
      </c>
      <c r="M93" s="55">
        <f t="shared" si="19"/>
        <v>0</v>
      </c>
      <c r="N93" s="55">
        <f t="shared" si="20"/>
        <v>0</v>
      </c>
      <c r="O93" s="53">
        <f t="shared" si="21"/>
        <v>0</v>
      </c>
      <c r="P93" s="54">
        <f t="shared" si="22"/>
        <v>0</v>
      </c>
      <c r="Q93" s="54">
        <f t="shared" si="23"/>
        <v>0</v>
      </c>
      <c r="R93" s="15">
        <v>75</v>
      </c>
      <c r="S93" s="17">
        <f>6.81/1000</f>
        <v>0.006809999999999999</v>
      </c>
      <c r="T93" s="57">
        <f t="shared" si="13"/>
        <v>0.6809999999999999</v>
      </c>
      <c r="U93" s="17">
        <v>0</v>
      </c>
      <c r="V93" s="17" t="s">
        <v>164</v>
      </c>
      <c r="W93" s="58" t="s">
        <v>316</v>
      </c>
      <c r="AB93" s="58" t="s">
        <v>19</v>
      </c>
      <c r="AC93" s="17">
        <f>6.81/1000</f>
        <v>0.006809999999999999</v>
      </c>
      <c r="AD93" s="58"/>
      <c r="AE93" s="17">
        <f>2.45/350</f>
        <v>0.007</v>
      </c>
      <c r="AF93" s="58" t="s">
        <v>317</v>
      </c>
    </row>
    <row r="94" spans="1:32" s="17" customFormat="1" ht="31.5" customHeight="1">
      <c r="A94" s="75" t="s">
        <v>101</v>
      </c>
      <c r="B94" s="81"/>
      <c r="C94" s="79"/>
      <c r="D94" s="51"/>
      <c r="E94" s="51"/>
      <c r="F94" s="51"/>
      <c r="G94" s="51"/>
      <c r="H94" s="52">
        <f t="shared" si="14"/>
        <v>0</v>
      </c>
      <c r="I94" s="52">
        <f t="shared" si="15"/>
        <v>0</v>
      </c>
      <c r="J94" s="53">
        <f t="shared" si="16"/>
        <v>0</v>
      </c>
      <c r="K94" s="54">
        <f t="shared" si="17"/>
        <v>0</v>
      </c>
      <c r="L94" s="55">
        <f t="shared" si="18"/>
        <v>0</v>
      </c>
      <c r="M94" s="55">
        <f t="shared" si="19"/>
        <v>0</v>
      </c>
      <c r="N94" s="55">
        <f t="shared" si="20"/>
        <v>0</v>
      </c>
      <c r="O94" s="53">
        <f t="shared" si="21"/>
        <v>0</v>
      </c>
      <c r="P94" s="54">
        <f t="shared" si="22"/>
        <v>0</v>
      </c>
      <c r="Q94" s="54">
        <f t="shared" si="23"/>
        <v>0</v>
      </c>
      <c r="R94" s="17">
        <v>220</v>
      </c>
      <c r="S94" s="17">
        <f>1.3/1000</f>
        <v>0.0013</v>
      </c>
      <c r="T94" s="57">
        <f t="shared" si="13"/>
        <v>0.13</v>
      </c>
      <c r="U94" s="17">
        <v>0</v>
      </c>
      <c r="V94" s="17" t="s">
        <v>212</v>
      </c>
      <c r="W94" s="58" t="s">
        <v>318</v>
      </c>
      <c r="AB94" s="58" t="s">
        <v>19</v>
      </c>
      <c r="AC94" s="17">
        <f>1.39/1000</f>
        <v>0.00139</v>
      </c>
      <c r="AD94" s="58"/>
      <c r="AE94" s="17">
        <f>3.35/1000</f>
        <v>0.00335</v>
      </c>
      <c r="AF94" s="58" t="s">
        <v>319</v>
      </c>
    </row>
    <row r="95" spans="1:32" s="17" customFormat="1" ht="31.5" customHeight="1">
      <c r="A95" s="75" t="s">
        <v>102</v>
      </c>
      <c r="B95" s="81"/>
      <c r="C95" s="79"/>
      <c r="D95" s="51"/>
      <c r="E95" s="51"/>
      <c r="F95" s="51"/>
      <c r="G95" s="51"/>
      <c r="H95" s="52">
        <f t="shared" si="14"/>
        <v>0</v>
      </c>
      <c r="I95" s="52">
        <f t="shared" si="15"/>
        <v>0</v>
      </c>
      <c r="J95" s="53">
        <f t="shared" si="16"/>
        <v>0</v>
      </c>
      <c r="K95" s="54">
        <f t="shared" si="17"/>
        <v>0</v>
      </c>
      <c r="L95" s="55">
        <f t="shared" si="18"/>
        <v>0</v>
      </c>
      <c r="M95" s="55">
        <f t="shared" si="19"/>
        <v>0</v>
      </c>
      <c r="N95" s="55">
        <f t="shared" si="20"/>
        <v>0</v>
      </c>
      <c r="O95" s="53">
        <f t="shared" si="21"/>
        <v>0</v>
      </c>
      <c r="P95" s="54">
        <f t="shared" si="22"/>
        <v>0</v>
      </c>
      <c r="Q95" s="54">
        <f t="shared" si="23"/>
        <v>0</v>
      </c>
      <c r="R95" s="15">
        <v>40</v>
      </c>
      <c r="S95" s="17">
        <f>0.8/40</f>
        <v>0.02</v>
      </c>
      <c r="T95" s="57">
        <f t="shared" si="13"/>
        <v>2</v>
      </c>
      <c r="U95" s="17">
        <v>1</v>
      </c>
      <c r="V95" s="17" t="s">
        <v>164</v>
      </c>
      <c r="W95" s="58" t="s">
        <v>320</v>
      </c>
      <c r="AB95" s="58" t="s">
        <v>19</v>
      </c>
      <c r="AC95" s="17">
        <f>0.5/40</f>
        <v>0.0125</v>
      </c>
      <c r="AD95" s="58"/>
      <c r="AE95" s="17">
        <f>2.85/(40*3)</f>
        <v>0.02375</v>
      </c>
      <c r="AF95" s="58" t="s">
        <v>321</v>
      </c>
    </row>
    <row r="96" spans="1:32" s="17" customFormat="1" ht="31.5" customHeight="1">
      <c r="A96" s="76" t="s">
        <v>103</v>
      </c>
      <c r="B96" s="81"/>
      <c r="C96" s="79"/>
      <c r="D96" s="51"/>
      <c r="E96" s="51"/>
      <c r="F96" s="51"/>
      <c r="G96" s="51"/>
      <c r="H96" s="52">
        <f t="shared" si="14"/>
        <v>0</v>
      </c>
      <c r="I96" s="52">
        <f t="shared" si="15"/>
        <v>0</v>
      </c>
      <c r="J96" s="53">
        <f t="shared" si="16"/>
        <v>0</v>
      </c>
      <c r="K96" s="54">
        <f t="shared" si="17"/>
        <v>0</v>
      </c>
      <c r="L96" s="55">
        <f t="shared" si="18"/>
        <v>0</v>
      </c>
      <c r="M96" s="55">
        <f t="shared" si="19"/>
        <v>0</v>
      </c>
      <c r="N96" s="55">
        <f t="shared" si="20"/>
        <v>0</v>
      </c>
      <c r="O96" s="53">
        <f t="shared" si="21"/>
        <v>0</v>
      </c>
      <c r="P96" s="54">
        <f t="shared" si="22"/>
        <v>0</v>
      </c>
      <c r="Q96" s="54">
        <f t="shared" si="23"/>
        <v>0</v>
      </c>
      <c r="R96" s="17">
        <v>150</v>
      </c>
      <c r="S96" s="17">
        <f>0.7/150</f>
        <v>0.004666666666666666</v>
      </c>
      <c r="T96" s="57">
        <f t="shared" si="13"/>
        <v>0.4666666666666666</v>
      </c>
      <c r="U96" s="17">
        <v>0.6</v>
      </c>
      <c r="V96" s="17" t="s">
        <v>212</v>
      </c>
      <c r="W96" s="58" t="s">
        <v>323</v>
      </c>
      <c r="AB96" s="58" t="s">
        <v>19</v>
      </c>
      <c r="AC96" s="17">
        <f>0.748/150</f>
        <v>0.004986666666666667</v>
      </c>
      <c r="AD96" s="58"/>
      <c r="AE96" s="17">
        <f>0.4/150</f>
        <v>0.002666666666666667</v>
      </c>
      <c r="AF96" s="58" t="s">
        <v>322</v>
      </c>
    </row>
    <row r="97" spans="1:32" s="17" customFormat="1" ht="31.5" customHeight="1">
      <c r="A97" s="76" t="s">
        <v>104</v>
      </c>
      <c r="B97" s="81"/>
      <c r="C97" s="79"/>
      <c r="D97" s="51"/>
      <c r="E97" s="51"/>
      <c r="F97" s="51"/>
      <c r="G97" s="51"/>
      <c r="H97" s="52">
        <f t="shared" si="14"/>
        <v>0</v>
      </c>
      <c r="I97" s="52">
        <f t="shared" si="15"/>
        <v>0</v>
      </c>
      <c r="J97" s="53">
        <f t="shared" si="16"/>
        <v>0</v>
      </c>
      <c r="K97" s="54">
        <f t="shared" si="17"/>
        <v>0</v>
      </c>
      <c r="L97" s="55">
        <f t="shared" si="18"/>
        <v>0</v>
      </c>
      <c r="M97" s="55">
        <f t="shared" si="19"/>
        <v>0</v>
      </c>
      <c r="N97" s="55">
        <f t="shared" si="20"/>
        <v>0</v>
      </c>
      <c r="O97" s="53">
        <f t="shared" si="21"/>
        <v>0</v>
      </c>
      <c r="P97" s="54">
        <f t="shared" si="22"/>
        <v>0</v>
      </c>
      <c r="Q97" s="54">
        <f t="shared" si="23"/>
        <v>0</v>
      </c>
      <c r="R97" s="15">
        <v>150</v>
      </c>
      <c r="S97" s="17">
        <f>0.3/150</f>
        <v>0.002</v>
      </c>
      <c r="T97" s="57">
        <f t="shared" si="13"/>
        <v>0.2</v>
      </c>
      <c r="U97" s="17">
        <v>0.5</v>
      </c>
      <c r="V97" s="17" t="s">
        <v>212</v>
      </c>
      <c r="W97" s="58" t="s">
        <v>325</v>
      </c>
      <c r="AB97" s="58" t="s">
        <v>19</v>
      </c>
      <c r="AC97" s="17">
        <f>2.2/1000</f>
        <v>0.0022</v>
      </c>
      <c r="AD97" s="58"/>
      <c r="AE97" s="17">
        <f>0.625/150</f>
        <v>0.004166666666666667</v>
      </c>
      <c r="AF97" s="58" t="s">
        <v>324</v>
      </c>
    </row>
    <row r="98" spans="1:32" s="17" customFormat="1" ht="31.5" customHeight="1">
      <c r="A98" s="75" t="s">
        <v>105</v>
      </c>
      <c r="B98" s="82"/>
      <c r="C98" s="79"/>
      <c r="D98" s="51"/>
      <c r="E98" s="51"/>
      <c r="F98" s="51"/>
      <c r="G98" s="51"/>
      <c r="H98" s="52">
        <f t="shared" si="14"/>
        <v>0</v>
      </c>
      <c r="I98" s="52">
        <f t="shared" si="15"/>
        <v>0</v>
      </c>
      <c r="J98" s="53">
        <f t="shared" si="16"/>
        <v>0</v>
      </c>
      <c r="K98" s="54">
        <f t="shared" si="17"/>
        <v>0</v>
      </c>
      <c r="L98" s="55">
        <f t="shared" si="18"/>
        <v>0</v>
      </c>
      <c r="M98" s="55">
        <f t="shared" si="19"/>
        <v>0</v>
      </c>
      <c r="N98" s="55">
        <f t="shared" si="20"/>
        <v>0</v>
      </c>
      <c r="O98" s="53">
        <f t="shared" si="21"/>
        <v>0</v>
      </c>
      <c r="P98" s="54">
        <f t="shared" si="22"/>
        <v>0</v>
      </c>
      <c r="Q98" s="54">
        <f t="shared" si="23"/>
        <v>0</v>
      </c>
      <c r="R98" s="17">
        <v>1</v>
      </c>
      <c r="S98" s="17">
        <f>5/1000</f>
        <v>0.005</v>
      </c>
      <c r="T98" s="57">
        <f t="shared" si="13"/>
        <v>0.5</v>
      </c>
      <c r="U98" s="15">
        <v>0</v>
      </c>
      <c r="V98" s="17" t="s">
        <v>212</v>
      </c>
      <c r="W98" s="58" t="s">
        <v>327</v>
      </c>
      <c r="AB98" s="58" t="s">
        <v>19</v>
      </c>
      <c r="AC98" s="17">
        <v>0.008</v>
      </c>
      <c r="AD98" s="58"/>
      <c r="AE98" s="17">
        <f>3.65/400</f>
        <v>0.009125</v>
      </c>
      <c r="AF98" s="58" t="s">
        <v>326</v>
      </c>
    </row>
    <row r="99" spans="1:32" s="17" customFormat="1" ht="31.5" customHeight="1">
      <c r="A99" s="76" t="s">
        <v>106</v>
      </c>
      <c r="B99" s="81"/>
      <c r="C99" s="79"/>
      <c r="D99" s="51"/>
      <c r="E99" s="51"/>
      <c r="F99" s="51"/>
      <c r="G99" s="51"/>
      <c r="H99" s="52">
        <f t="shared" si="14"/>
        <v>0</v>
      </c>
      <c r="I99" s="52">
        <f t="shared" si="15"/>
        <v>0</v>
      </c>
      <c r="J99" s="53">
        <f t="shared" si="16"/>
        <v>0</v>
      </c>
      <c r="K99" s="54">
        <f t="shared" si="17"/>
        <v>0</v>
      </c>
      <c r="L99" s="55">
        <f t="shared" si="18"/>
        <v>0</v>
      </c>
      <c r="M99" s="55">
        <f t="shared" si="19"/>
        <v>0</v>
      </c>
      <c r="N99" s="55">
        <f t="shared" si="20"/>
        <v>0</v>
      </c>
      <c r="O99" s="53">
        <f t="shared" si="21"/>
        <v>0</v>
      </c>
      <c r="P99" s="54">
        <f t="shared" si="22"/>
        <v>0</v>
      </c>
      <c r="Q99" s="54">
        <f t="shared" si="23"/>
        <v>0</v>
      </c>
      <c r="R99" s="17">
        <v>150</v>
      </c>
      <c r="S99" s="17">
        <f>3/1000</f>
        <v>0.003</v>
      </c>
      <c r="T99" s="57">
        <f t="shared" si="13"/>
        <v>0.3</v>
      </c>
      <c r="U99" s="17">
        <v>0.1</v>
      </c>
      <c r="V99" s="17" t="s">
        <v>212</v>
      </c>
      <c r="W99" s="58" t="s">
        <v>328</v>
      </c>
      <c r="AB99" s="58" t="s">
        <v>108</v>
      </c>
      <c r="AC99" s="17">
        <f>6.875/1000</f>
        <v>0.006875</v>
      </c>
      <c r="AD99" s="58"/>
      <c r="AE99" s="17">
        <f>1.1/150</f>
        <v>0.007333333333333334</v>
      </c>
      <c r="AF99" s="58" t="s">
        <v>329</v>
      </c>
    </row>
    <row r="100" spans="1:32" s="17" customFormat="1" ht="31.5" customHeight="1">
      <c r="A100" s="76" t="s">
        <v>107</v>
      </c>
      <c r="B100" s="81"/>
      <c r="C100" s="79"/>
      <c r="D100" s="51"/>
      <c r="E100" s="51"/>
      <c r="F100" s="51"/>
      <c r="G100" s="51"/>
      <c r="H100" s="52">
        <f t="shared" si="14"/>
        <v>0</v>
      </c>
      <c r="I100" s="52">
        <f t="shared" si="15"/>
        <v>0</v>
      </c>
      <c r="J100" s="53">
        <f t="shared" si="16"/>
        <v>0</v>
      </c>
      <c r="K100" s="54">
        <f t="shared" si="17"/>
        <v>0</v>
      </c>
      <c r="L100" s="55">
        <f t="shared" si="18"/>
        <v>0</v>
      </c>
      <c r="M100" s="55">
        <f t="shared" si="19"/>
        <v>0</v>
      </c>
      <c r="N100" s="55">
        <f t="shared" si="20"/>
        <v>0</v>
      </c>
      <c r="O100" s="53">
        <f t="shared" si="21"/>
        <v>0</v>
      </c>
      <c r="P100" s="54">
        <f t="shared" si="22"/>
        <v>0</v>
      </c>
      <c r="Q100" s="54">
        <f t="shared" si="23"/>
        <v>0</v>
      </c>
      <c r="R100" s="61">
        <v>40</v>
      </c>
      <c r="S100" s="17">
        <f>4/1000</f>
        <v>0.004</v>
      </c>
      <c r="T100" s="57">
        <f t="shared" si="13"/>
        <v>0.4</v>
      </c>
      <c r="U100" s="17">
        <v>0.5</v>
      </c>
      <c r="V100" s="17" t="s">
        <v>212</v>
      </c>
      <c r="W100" s="58" t="s">
        <v>280</v>
      </c>
      <c r="AB100" s="58" t="s">
        <v>19</v>
      </c>
      <c r="AC100" s="17">
        <v>0.004</v>
      </c>
      <c r="AD100" s="58"/>
      <c r="AE100" s="17">
        <f>7.4/1000</f>
        <v>0.0074</v>
      </c>
      <c r="AF100" s="58" t="s">
        <v>281</v>
      </c>
    </row>
    <row r="101" spans="1:32" s="17" customFormat="1" ht="31.5" customHeight="1">
      <c r="A101" s="76" t="s">
        <v>109</v>
      </c>
      <c r="B101" s="81"/>
      <c r="C101" s="79"/>
      <c r="D101" s="51"/>
      <c r="E101" s="51"/>
      <c r="F101" s="51"/>
      <c r="G101" s="51"/>
      <c r="H101" s="52">
        <f t="shared" si="14"/>
        <v>0</v>
      </c>
      <c r="I101" s="52">
        <f t="shared" si="15"/>
        <v>0</v>
      </c>
      <c r="J101" s="53">
        <f t="shared" si="16"/>
        <v>0</v>
      </c>
      <c r="K101" s="54">
        <f t="shared" si="17"/>
        <v>0</v>
      </c>
      <c r="L101" s="55">
        <f t="shared" si="18"/>
        <v>0</v>
      </c>
      <c r="M101" s="55">
        <f t="shared" si="19"/>
        <v>0</v>
      </c>
      <c r="N101" s="55">
        <f t="shared" si="20"/>
        <v>0</v>
      </c>
      <c r="O101" s="53">
        <f t="shared" si="21"/>
        <v>0</v>
      </c>
      <c r="P101" s="54">
        <f t="shared" si="22"/>
        <v>0</v>
      </c>
      <c r="Q101" s="54">
        <f t="shared" si="23"/>
        <v>0</v>
      </c>
      <c r="R101" s="15">
        <v>100</v>
      </c>
      <c r="S101" s="17">
        <f>0.4/1000</f>
        <v>0.0004</v>
      </c>
      <c r="T101" s="57">
        <f t="shared" si="13"/>
        <v>0.04</v>
      </c>
      <c r="U101" s="17">
        <v>0</v>
      </c>
      <c r="V101" s="17" t="s">
        <v>212</v>
      </c>
      <c r="W101" s="58" t="s">
        <v>330</v>
      </c>
      <c r="AB101" s="58" t="s">
        <v>19</v>
      </c>
      <c r="AC101" s="17">
        <f>0.625/1000</f>
        <v>0.000625</v>
      </c>
      <c r="AD101" s="58"/>
      <c r="AE101" s="17">
        <f>1.12/1000</f>
        <v>0.0011200000000000001</v>
      </c>
      <c r="AF101" s="58" t="s">
        <v>331</v>
      </c>
    </row>
    <row r="102" spans="1:32" s="17" customFormat="1" ht="31.5" customHeight="1">
      <c r="A102" s="76" t="s">
        <v>110</v>
      </c>
      <c r="B102" s="82"/>
      <c r="C102" s="79"/>
      <c r="D102" s="51"/>
      <c r="E102" s="51"/>
      <c r="F102" s="51"/>
      <c r="G102" s="51"/>
      <c r="H102" s="52">
        <f t="shared" si="14"/>
        <v>0</v>
      </c>
      <c r="I102" s="52">
        <f t="shared" si="15"/>
        <v>0</v>
      </c>
      <c r="J102" s="53">
        <f t="shared" si="16"/>
        <v>0</v>
      </c>
      <c r="K102" s="54">
        <f t="shared" si="17"/>
        <v>0</v>
      </c>
      <c r="L102" s="55">
        <f t="shared" si="18"/>
        <v>0</v>
      </c>
      <c r="M102" s="55">
        <f t="shared" si="19"/>
        <v>0</v>
      </c>
      <c r="N102" s="55">
        <f t="shared" si="20"/>
        <v>0</v>
      </c>
      <c r="O102" s="53">
        <f t="shared" si="21"/>
        <v>0</v>
      </c>
      <c r="P102" s="54">
        <f t="shared" si="22"/>
        <v>0</v>
      </c>
      <c r="Q102" s="54">
        <f t="shared" si="23"/>
        <v>0</v>
      </c>
      <c r="R102" s="15">
        <v>30</v>
      </c>
      <c r="S102" s="17">
        <f>1.3/1000</f>
        <v>0.0013</v>
      </c>
      <c r="T102" s="57">
        <f t="shared" si="13"/>
        <v>0.13</v>
      </c>
      <c r="U102" s="17">
        <v>0</v>
      </c>
      <c r="V102" s="17" t="s">
        <v>212</v>
      </c>
      <c r="W102" s="58" t="s">
        <v>332</v>
      </c>
      <c r="AB102" s="58" t="s">
        <v>19</v>
      </c>
      <c r="AC102" s="17">
        <f>2/1000</f>
        <v>0.002</v>
      </c>
      <c r="AD102" s="58"/>
      <c r="AE102" s="17">
        <f>5.34/1000</f>
        <v>0.00534</v>
      </c>
      <c r="AF102" s="58" t="s">
        <v>333</v>
      </c>
    </row>
    <row r="103" spans="1:32" s="17" customFormat="1" ht="31.5" customHeight="1">
      <c r="A103" s="75" t="s">
        <v>111</v>
      </c>
      <c r="B103" s="81"/>
      <c r="C103" s="79"/>
      <c r="D103" s="51"/>
      <c r="E103" s="51"/>
      <c r="F103" s="51"/>
      <c r="G103" s="51"/>
      <c r="H103" s="52">
        <f t="shared" si="14"/>
        <v>0</v>
      </c>
      <c r="I103" s="52">
        <f t="shared" si="15"/>
        <v>0</v>
      </c>
      <c r="J103" s="53">
        <f t="shared" si="16"/>
        <v>0</v>
      </c>
      <c r="K103" s="54">
        <f t="shared" si="17"/>
        <v>0</v>
      </c>
      <c r="L103" s="55">
        <f t="shared" si="18"/>
        <v>0</v>
      </c>
      <c r="M103" s="55">
        <f t="shared" si="19"/>
        <v>0</v>
      </c>
      <c r="N103" s="55">
        <f t="shared" si="20"/>
        <v>0</v>
      </c>
      <c r="O103" s="53">
        <f t="shared" si="21"/>
        <v>0</v>
      </c>
      <c r="P103" s="54">
        <f t="shared" si="22"/>
        <v>0</v>
      </c>
      <c r="Q103" s="54">
        <f t="shared" si="23"/>
        <v>0</v>
      </c>
      <c r="R103" s="17">
        <v>250</v>
      </c>
      <c r="S103" s="17">
        <f>(3.55/3)/250</f>
        <v>0.004733333333333333</v>
      </c>
      <c r="T103" s="57">
        <f t="shared" si="13"/>
        <v>0.47333333333333333</v>
      </c>
      <c r="U103" s="15">
        <v>1</v>
      </c>
      <c r="V103" s="17" t="s">
        <v>204</v>
      </c>
      <c r="W103" s="58" t="s">
        <v>334</v>
      </c>
      <c r="X103" s="17" t="s">
        <v>335</v>
      </c>
      <c r="AB103" s="58" t="s">
        <v>66</v>
      </c>
      <c r="AC103" s="17">
        <v>0.005</v>
      </c>
      <c r="AD103" s="58"/>
      <c r="AE103" s="17">
        <f>(3.55/3)/250</f>
        <v>0.004733333333333333</v>
      </c>
      <c r="AF103" s="58" t="s">
        <v>334</v>
      </c>
    </row>
    <row r="104" spans="1:32" s="17" customFormat="1" ht="31.5" customHeight="1">
      <c r="A104" s="76" t="s">
        <v>112</v>
      </c>
      <c r="B104" s="81"/>
      <c r="C104" s="79"/>
      <c r="D104" s="51"/>
      <c r="E104" s="51"/>
      <c r="F104" s="51"/>
      <c r="G104" s="51"/>
      <c r="H104" s="52">
        <f t="shared" si="14"/>
        <v>0</v>
      </c>
      <c r="I104" s="52">
        <f t="shared" si="15"/>
        <v>0</v>
      </c>
      <c r="J104" s="53">
        <f t="shared" si="16"/>
        <v>0</v>
      </c>
      <c r="K104" s="54">
        <f t="shared" si="17"/>
        <v>0</v>
      </c>
      <c r="L104" s="55">
        <f t="shared" si="18"/>
        <v>0</v>
      </c>
      <c r="M104" s="55">
        <f t="shared" si="19"/>
        <v>0</v>
      </c>
      <c r="N104" s="55">
        <f t="shared" si="20"/>
        <v>0</v>
      </c>
      <c r="O104" s="53">
        <f t="shared" si="21"/>
        <v>0</v>
      </c>
      <c r="P104" s="54">
        <f t="shared" si="22"/>
        <v>0</v>
      </c>
      <c r="Q104" s="54">
        <f t="shared" si="23"/>
        <v>0</v>
      </c>
      <c r="S104" s="17">
        <f>7/1000</f>
        <v>0.007</v>
      </c>
      <c r="T104" s="57">
        <f t="shared" si="13"/>
        <v>0.7000000000000001</v>
      </c>
      <c r="U104" s="17">
        <v>0</v>
      </c>
      <c r="V104" s="17" t="s">
        <v>164</v>
      </c>
      <c r="W104" s="58" t="s">
        <v>336</v>
      </c>
      <c r="AB104" s="58" t="s">
        <v>19</v>
      </c>
      <c r="AC104" s="17">
        <f>7.5/1000</f>
        <v>0.0075</v>
      </c>
      <c r="AD104" s="58"/>
      <c r="AE104" s="17">
        <f>10.67/1000</f>
        <v>0.01067</v>
      </c>
      <c r="AF104" s="58" t="s">
        <v>337</v>
      </c>
    </row>
    <row r="105" spans="1:32" s="17" customFormat="1" ht="31.5" customHeight="1">
      <c r="A105" s="76" t="s">
        <v>113</v>
      </c>
      <c r="B105" s="81"/>
      <c r="C105" s="79"/>
      <c r="D105" s="51"/>
      <c r="E105" s="51"/>
      <c r="F105" s="51"/>
      <c r="G105" s="51"/>
      <c r="H105" s="52">
        <f t="shared" si="14"/>
        <v>0</v>
      </c>
      <c r="I105" s="52">
        <f t="shared" si="15"/>
        <v>0</v>
      </c>
      <c r="J105" s="53">
        <f t="shared" si="16"/>
        <v>0</v>
      </c>
      <c r="K105" s="54">
        <f t="shared" si="17"/>
        <v>0</v>
      </c>
      <c r="L105" s="55">
        <f t="shared" si="18"/>
        <v>0</v>
      </c>
      <c r="M105" s="55">
        <f t="shared" si="19"/>
        <v>0</v>
      </c>
      <c r="N105" s="55">
        <f t="shared" si="20"/>
        <v>0</v>
      </c>
      <c r="O105" s="53">
        <f t="shared" si="21"/>
        <v>0</v>
      </c>
      <c r="P105" s="54">
        <f t="shared" si="22"/>
        <v>0</v>
      </c>
      <c r="Q105" s="54">
        <f t="shared" si="23"/>
        <v>0</v>
      </c>
      <c r="R105" s="15">
        <v>5</v>
      </c>
      <c r="S105" s="17">
        <f>3.5/1000</f>
        <v>0.0035</v>
      </c>
      <c r="T105" s="57">
        <f t="shared" si="13"/>
        <v>0.35000000000000003</v>
      </c>
      <c r="U105" s="17">
        <v>0</v>
      </c>
      <c r="V105" s="17" t="s">
        <v>212</v>
      </c>
      <c r="W105" s="58" t="s">
        <v>338</v>
      </c>
      <c r="AB105" s="58" t="s">
        <v>19</v>
      </c>
      <c r="AC105" s="17">
        <f>7.34/1000</f>
        <v>0.00734</v>
      </c>
      <c r="AD105" s="58"/>
      <c r="AE105" s="17">
        <f>2.25/200</f>
        <v>0.01125</v>
      </c>
      <c r="AF105" s="58" t="s">
        <v>339</v>
      </c>
    </row>
    <row r="106" spans="1:32" s="17" customFormat="1" ht="31.5" customHeight="1">
      <c r="A106" s="75" t="s">
        <v>114</v>
      </c>
      <c r="B106" s="82"/>
      <c r="C106" s="79"/>
      <c r="D106" s="51"/>
      <c r="E106" s="51"/>
      <c r="F106" s="51"/>
      <c r="G106" s="51"/>
      <c r="H106" s="52">
        <f t="shared" si="14"/>
        <v>0</v>
      </c>
      <c r="I106" s="52">
        <f t="shared" si="15"/>
        <v>0</v>
      </c>
      <c r="J106" s="53">
        <f t="shared" si="16"/>
        <v>0</v>
      </c>
      <c r="K106" s="54">
        <f t="shared" si="17"/>
        <v>0</v>
      </c>
      <c r="L106" s="55">
        <f t="shared" si="18"/>
        <v>0</v>
      </c>
      <c r="M106" s="55">
        <f t="shared" si="19"/>
        <v>0</v>
      </c>
      <c r="N106" s="55">
        <f t="shared" si="20"/>
        <v>0</v>
      </c>
      <c r="O106" s="53">
        <f t="shared" si="21"/>
        <v>0</v>
      </c>
      <c r="P106" s="54">
        <f t="shared" si="22"/>
        <v>0</v>
      </c>
      <c r="Q106" s="54">
        <f t="shared" si="23"/>
        <v>0</v>
      </c>
      <c r="R106" s="15">
        <v>4</v>
      </c>
      <c r="S106" s="17">
        <f>13.34/1000</f>
        <v>0.01334</v>
      </c>
      <c r="T106" s="57">
        <f t="shared" si="13"/>
        <v>1.3339999999999999</v>
      </c>
      <c r="U106" s="15">
        <v>0.6</v>
      </c>
      <c r="V106" s="17" t="s">
        <v>164</v>
      </c>
      <c r="W106" s="58" t="s">
        <v>210</v>
      </c>
      <c r="AB106" s="58" t="s">
        <v>41</v>
      </c>
      <c r="AC106" s="17">
        <f>13.34/1000</f>
        <v>0.01334</v>
      </c>
      <c r="AD106" s="58"/>
      <c r="AE106" s="17">
        <f>22/1000</f>
        <v>0.022</v>
      </c>
      <c r="AF106" s="17" t="s">
        <v>211</v>
      </c>
    </row>
    <row r="107" spans="1:32" s="17" customFormat="1" ht="31.5" customHeight="1">
      <c r="A107" s="75" t="s">
        <v>115</v>
      </c>
      <c r="B107" s="81"/>
      <c r="C107" s="79"/>
      <c r="D107" s="51"/>
      <c r="E107" s="51"/>
      <c r="F107" s="51"/>
      <c r="G107" s="51"/>
      <c r="H107" s="52">
        <f t="shared" si="14"/>
        <v>0</v>
      </c>
      <c r="I107" s="52">
        <f t="shared" si="15"/>
        <v>0</v>
      </c>
      <c r="J107" s="53">
        <f t="shared" si="16"/>
        <v>0</v>
      </c>
      <c r="K107" s="54">
        <f t="shared" si="17"/>
        <v>0</v>
      </c>
      <c r="L107" s="55">
        <f t="shared" si="18"/>
        <v>0</v>
      </c>
      <c r="M107" s="55">
        <f t="shared" si="19"/>
        <v>0</v>
      </c>
      <c r="N107" s="55">
        <f t="shared" si="20"/>
        <v>0</v>
      </c>
      <c r="O107" s="53">
        <f t="shared" si="21"/>
        <v>0</v>
      </c>
      <c r="P107" s="54">
        <f t="shared" si="22"/>
        <v>0</v>
      </c>
      <c r="Q107" s="54">
        <f t="shared" si="23"/>
        <v>0</v>
      </c>
      <c r="R107" s="15">
        <v>1</v>
      </c>
      <c r="S107" s="17">
        <f>15/1000</f>
        <v>0.015</v>
      </c>
      <c r="T107" s="57">
        <f t="shared" si="13"/>
        <v>1.5</v>
      </c>
      <c r="U107" s="15">
        <v>0.25</v>
      </c>
      <c r="V107" s="17" t="s">
        <v>341</v>
      </c>
      <c r="W107" s="58" t="s">
        <v>340</v>
      </c>
      <c r="AB107" s="58" t="s">
        <v>19</v>
      </c>
      <c r="AC107" s="17">
        <f>16/1000</f>
        <v>0.016</v>
      </c>
      <c r="AD107" s="58"/>
      <c r="AE107" s="17">
        <f>3.05/125</f>
        <v>0.024399999999999998</v>
      </c>
      <c r="AF107" s="58" t="s">
        <v>342</v>
      </c>
    </row>
    <row r="108" spans="1:32" s="17" customFormat="1" ht="31.5" customHeight="1">
      <c r="A108" s="75" t="s">
        <v>116</v>
      </c>
      <c r="B108" s="81"/>
      <c r="C108" s="79"/>
      <c r="D108" s="51"/>
      <c r="E108" s="51"/>
      <c r="F108" s="51"/>
      <c r="G108" s="51"/>
      <c r="H108" s="52">
        <f t="shared" si="14"/>
        <v>0</v>
      </c>
      <c r="I108" s="52">
        <f t="shared" si="15"/>
        <v>0</v>
      </c>
      <c r="J108" s="53">
        <f t="shared" si="16"/>
        <v>0</v>
      </c>
      <c r="K108" s="54">
        <f t="shared" si="17"/>
        <v>0</v>
      </c>
      <c r="L108" s="55">
        <f t="shared" si="18"/>
        <v>0</v>
      </c>
      <c r="M108" s="55">
        <f t="shared" si="19"/>
        <v>0</v>
      </c>
      <c r="N108" s="55">
        <f t="shared" si="20"/>
        <v>0</v>
      </c>
      <c r="O108" s="53">
        <f t="shared" si="21"/>
        <v>0</v>
      </c>
      <c r="P108" s="54">
        <f t="shared" si="22"/>
        <v>0</v>
      </c>
      <c r="Q108" s="54">
        <f t="shared" si="23"/>
        <v>0</v>
      </c>
      <c r="R108" s="15">
        <v>60</v>
      </c>
      <c r="S108" s="17">
        <f>6.63/1000</f>
        <v>0.00663</v>
      </c>
      <c r="T108" s="57">
        <f t="shared" si="13"/>
        <v>0.6629999999999999</v>
      </c>
      <c r="U108" s="17">
        <v>0</v>
      </c>
      <c r="V108" s="17" t="s">
        <v>164</v>
      </c>
      <c r="W108" s="58" t="s">
        <v>344</v>
      </c>
      <c r="AB108" s="58" t="s">
        <v>19</v>
      </c>
      <c r="AC108" s="17">
        <f>6/1000</f>
        <v>0.006</v>
      </c>
      <c r="AD108" s="58"/>
      <c r="AE108" s="17">
        <f>2.95/500</f>
        <v>0.005900000000000001</v>
      </c>
      <c r="AF108" s="58" t="s">
        <v>343</v>
      </c>
    </row>
    <row r="109" spans="1:32" s="17" customFormat="1" ht="31.5" customHeight="1">
      <c r="A109" s="75" t="s">
        <v>117</v>
      </c>
      <c r="B109" s="81"/>
      <c r="C109" s="79"/>
      <c r="D109" s="51"/>
      <c r="E109" s="51"/>
      <c r="F109" s="51"/>
      <c r="G109" s="51"/>
      <c r="H109" s="52">
        <f t="shared" si="14"/>
        <v>0</v>
      </c>
      <c r="I109" s="52">
        <f t="shared" si="15"/>
        <v>0</v>
      </c>
      <c r="J109" s="53">
        <f t="shared" si="16"/>
        <v>0</v>
      </c>
      <c r="K109" s="54">
        <f t="shared" si="17"/>
        <v>0</v>
      </c>
      <c r="L109" s="55">
        <f t="shared" si="18"/>
        <v>0</v>
      </c>
      <c r="M109" s="55">
        <f t="shared" si="19"/>
        <v>0</v>
      </c>
      <c r="N109" s="55">
        <f t="shared" si="20"/>
        <v>0</v>
      </c>
      <c r="O109" s="53">
        <f t="shared" si="21"/>
        <v>0</v>
      </c>
      <c r="P109" s="54">
        <f t="shared" si="22"/>
        <v>0</v>
      </c>
      <c r="Q109" s="54">
        <f t="shared" si="23"/>
        <v>0</v>
      </c>
      <c r="R109" s="17">
        <v>4</v>
      </c>
      <c r="S109" s="17">
        <f>4.58/500</f>
        <v>0.00916</v>
      </c>
      <c r="T109" s="57">
        <f t="shared" si="13"/>
        <v>0.9159999999999999</v>
      </c>
      <c r="U109" s="15">
        <v>0.6</v>
      </c>
      <c r="V109" s="17" t="s">
        <v>66</v>
      </c>
      <c r="W109" s="58"/>
      <c r="X109" s="17" t="s">
        <v>345</v>
      </c>
      <c r="AB109" s="58" t="s">
        <v>66</v>
      </c>
      <c r="AC109" s="17">
        <f>4.58/500</f>
        <v>0.00916</v>
      </c>
      <c r="AD109" s="58"/>
      <c r="AE109" s="17">
        <f>4.58/500</f>
        <v>0.00916</v>
      </c>
      <c r="AF109" s="58"/>
    </row>
    <row r="110" spans="1:32" s="17" customFormat="1" ht="31.5" customHeight="1">
      <c r="A110" s="76" t="s">
        <v>118</v>
      </c>
      <c r="B110" s="82"/>
      <c r="C110" s="79"/>
      <c r="D110" s="51"/>
      <c r="E110" s="51"/>
      <c r="F110" s="51"/>
      <c r="G110" s="51"/>
      <c r="H110" s="52">
        <f t="shared" si="14"/>
        <v>0</v>
      </c>
      <c r="I110" s="52">
        <f t="shared" si="15"/>
        <v>0</v>
      </c>
      <c r="J110" s="53">
        <f t="shared" si="16"/>
        <v>0</v>
      </c>
      <c r="K110" s="54">
        <f t="shared" si="17"/>
        <v>0</v>
      </c>
      <c r="L110" s="55">
        <f t="shared" si="18"/>
        <v>0</v>
      </c>
      <c r="M110" s="55">
        <f t="shared" si="19"/>
        <v>0</v>
      </c>
      <c r="N110" s="55">
        <f t="shared" si="20"/>
        <v>0</v>
      </c>
      <c r="O110" s="53">
        <f t="shared" si="21"/>
        <v>0</v>
      </c>
      <c r="P110" s="54">
        <f t="shared" si="22"/>
        <v>0</v>
      </c>
      <c r="Q110" s="54">
        <f t="shared" si="23"/>
        <v>0</v>
      </c>
      <c r="R110" s="17">
        <v>10</v>
      </c>
      <c r="S110" s="17">
        <f>6.97/1000</f>
        <v>0.00697</v>
      </c>
      <c r="T110" s="57">
        <f t="shared" si="13"/>
        <v>0.697</v>
      </c>
      <c r="U110" s="17">
        <v>0.75</v>
      </c>
      <c r="V110" s="17" t="s">
        <v>212</v>
      </c>
      <c r="W110" s="58" t="s">
        <v>347</v>
      </c>
      <c r="AB110" s="58" t="s">
        <v>19</v>
      </c>
      <c r="AC110" s="17">
        <f>6.04/1000</f>
        <v>0.00604</v>
      </c>
      <c r="AD110" s="58"/>
      <c r="AE110" s="17">
        <f>2.55/400</f>
        <v>0.006375</v>
      </c>
      <c r="AF110" s="58" t="s">
        <v>346</v>
      </c>
    </row>
    <row r="111" spans="1:32" s="17" customFormat="1" ht="31.5" customHeight="1">
      <c r="A111" s="76" t="s">
        <v>119</v>
      </c>
      <c r="B111" s="81"/>
      <c r="C111" s="79"/>
      <c r="D111" s="51"/>
      <c r="E111" s="51"/>
      <c r="F111" s="51"/>
      <c r="G111" s="51"/>
      <c r="H111" s="52">
        <f t="shared" si="14"/>
        <v>0</v>
      </c>
      <c r="I111" s="52">
        <f t="shared" si="15"/>
        <v>0</v>
      </c>
      <c r="J111" s="53">
        <f t="shared" si="16"/>
        <v>0</v>
      </c>
      <c r="K111" s="54">
        <f t="shared" si="17"/>
        <v>0</v>
      </c>
      <c r="L111" s="55">
        <f t="shared" si="18"/>
        <v>0</v>
      </c>
      <c r="M111" s="55">
        <f t="shared" si="19"/>
        <v>0</v>
      </c>
      <c r="N111" s="55">
        <f t="shared" si="20"/>
        <v>0</v>
      </c>
      <c r="O111" s="53">
        <f t="shared" si="21"/>
        <v>0</v>
      </c>
      <c r="P111" s="54">
        <f t="shared" si="22"/>
        <v>0</v>
      </c>
      <c r="Q111" s="54">
        <f t="shared" si="23"/>
        <v>0</v>
      </c>
      <c r="R111" s="61">
        <v>20</v>
      </c>
      <c r="S111" s="17">
        <f>8.55/1000</f>
        <v>0.00855</v>
      </c>
      <c r="T111" s="57">
        <f t="shared" si="13"/>
        <v>0.855</v>
      </c>
      <c r="U111" s="17">
        <v>0</v>
      </c>
      <c r="V111" s="17" t="s">
        <v>66</v>
      </c>
      <c r="W111" s="58"/>
      <c r="X111" s="17" t="s">
        <v>345</v>
      </c>
      <c r="AB111" s="58" t="s">
        <v>19</v>
      </c>
      <c r="AC111" s="17">
        <f>8.55/1000</f>
        <v>0.00855</v>
      </c>
      <c r="AD111" s="58"/>
      <c r="AE111" s="17">
        <f>8.55/1000</f>
        <v>0.00855</v>
      </c>
      <c r="AF111" s="58"/>
    </row>
    <row r="112" spans="1:32" s="17" customFormat="1" ht="31.5" customHeight="1">
      <c r="A112" s="76" t="s">
        <v>120</v>
      </c>
      <c r="B112" s="81"/>
      <c r="C112" s="79"/>
      <c r="D112" s="51"/>
      <c r="E112" s="51"/>
      <c r="F112" s="51"/>
      <c r="G112" s="51"/>
      <c r="H112" s="52">
        <f t="shared" si="14"/>
        <v>0</v>
      </c>
      <c r="I112" s="52">
        <f t="shared" si="15"/>
        <v>0</v>
      </c>
      <c r="J112" s="53">
        <f t="shared" si="16"/>
        <v>0</v>
      </c>
      <c r="K112" s="54">
        <f t="shared" si="17"/>
        <v>0</v>
      </c>
      <c r="L112" s="55">
        <f t="shared" si="18"/>
        <v>0</v>
      </c>
      <c r="M112" s="55">
        <f t="shared" si="19"/>
        <v>0</v>
      </c>
      <c r="N112" s="55">
        <f t="shared" si="20"/>
        <v>0</v>
      </c>
      <c r="O112" s="53">
        <f t="shared" si="21"/>
        <v>0</v>
      </c>
      <c r="P112" s="54">
        <f t="shared" si="22"/>
        <v>0</v>
      </c>
      <c r="Q112" s="54">
        <f t="shared" si="23"/>
        <v>0</v>
      </c>
      <c r="R112" s="17">
        <v>1</v>
      </c>
      <c r="S112" s="17">
        <v>0.01100107585671705</v>
      </c>
      <c r="T112" s="57">
        <f t="shared" si="13"/>
        <v>1.100107585671705</v>
      </c>
      <c r="U112" s="17">
        <v>0.5</v>
      </c>
      <c r="V112" s="17" t="s">
        <v>66</v>
      </c>
      <c r="W112" s="58"/>
      <c r="X112" s="17" t="s">
        <v>345</v>
      </c>
      <c r="AB112" s="58" t="s">
        <v>66</v>
      </c>
      <c r="AC112" s="17">
        <v>0.01100107585671705</v>
      </c>
      <c r="AD112" s="58"/>
      <c r="AE112" s="17">
        <v>0.01100107585671705</v>
      </c>
      <c r="AF112" s="58"/>
    </row>
    <row r="113" spans="1:32" s="17" customFormat="1" ht="31.5" customHeight="1">
      <c r="A113" s="75" t="s">
        <v>121</v>
      </c>
      <c r="B113" s="82"/>
      <c r="C113" s="79"/>
      <c r="D113" s="51"/>
      <c r="E113" s="51"/>
      <c r="F113" s="51"/>
      <c r="G113" s="51"/>
      <c r="H113" s="52">
        <f t="shared" si="14"/>
        <v>0</v>
      </c>
      <c r="I113" s="52">
        <f t="shared" si="15"/>
        <v>0</v>
      </c>
      <c r="J113" s="53">
        <f t="shared" si="16"/>
        <v>0</v>
      </c>
      <c r="K113" s="54">
        <f t="shared" si="17"/>
        <v>0</v>
      </c>
      <c r="L113" s="55">
        <f t="shared" si="18"/>
        <v>0</v>
      </c>
      <c r="M113" s="55">
        <f t="shared" si="19"/>
        <v>0</v>
      </c>
      <c r="N113" s="55">
        <f t="shared" si="20"/>
        <v>0</v>
      </c>
      <c r="O113" s="53">
        <f t="shared" si="21"/>
        <v>0</v>
      </c>
      <c r="P113" s="54">
        <f t="shared" si="22"/>
        <v>0</v>
      </c>
      <c r="Q113" s="54">
        <f t="shared" si="23"/>
        <v>0</v>
      </c>
      <c r="R113" s="15">
        <v>200</v>
      </c>
      <c r="S113" s="17">
        <f>(2.9/2)/200</f>
        <v>0.0072499999999999995</v>
      </c>
      <c r="T113" s="57">
        <f t="shared" si="13"/>
        <v>0.725</v>
      </c>
      <c r="U113" s="15">
        <v>1</v>
      </c>
      <c r="V113" s="17" t="s">
        <v>168</v>
      </c>
      <c r="W113" s="58"/>
      <c r="X113" s="17" t="s">
        <v>348</v>
      </c>
      <c r="AB113" s="58" t="s">
        <v>66</v>
      </c>
      <c r="AC113" s="17">
        <f>3/1000</f>
        <v>0.003</v>
      </c>
      <c r="AD113" s="58"/>
      <c r="AE113" s="17">
        <f>(2.9/2)/200</f>
        <v>0.0072499999999999995</v>
      </c>
      <c r="AF113" s="58" t="s">
        <v>349</v>
      </c>
    </row>
    <row r="114" spans="1:32" s="17" customFormat="1" ht="31.5" customHeight="1">
      <c r="A114" s="75" t="s">
        <v>122</v>
      </c>
      <c r="B114" s="82"/>
      <c r="C114" s="79"/>
      <c r="D114" s="51"/>
      <c r="E114" s="51"/>
      <c r="F114" s="51"/>
      <c r="G114" s="51"/>
      <c r="H114" s="52">
        <f t="shared" si="14"/>
        <v>0</v>
      </c>
      <c r="I114" s="52">
        <f t="shared" si="15"/>
        <v>0</v>
      </c>
      <c r="J114" s="53">
        <f t="shared" si="16"/>
        <v>0</v>
      </c>
      <c r="K114" s="54">
        <f t="shared" si="17"/>
        <v>0</v>
      </c>
      <c r="L114" s="55">
        <f t="shared" si="18"/>
        <v>0</v>
      </c>
      <c r="M114" s="55">
        <f t="shared" si="19"/>
        <v>0</v>
      </c>
      <c r="N114" s="55">
        <f t="shared" si="20"/>
        <v>0</v>
      </c>
      <c r="O114" s="53">
        <f t="shared" si="21"/>
        <v>0</v>
      </c>
      <c r="P114" s="54">
        <f t="shared" si="22"/>
        <v>0</v>
      </c>
      <c r="Q114" s="54">
        <f t="shared" si="23"/>
        <v>0</v>
      </c>
      <c r="R114" s="15">
        <v>400</v>
      </c>
      <c r="S114" s="17">
        <f>1.85/1000</f>
        <v>0.00185</v>
      </c>
      <c r="T114" s="57">
        <f t="shared" si="13"/>
        <v>0.185</v>
      </c>
      <c r="U114" s="15">
        <v>1</v>
      </c>
      <c r="V114" s="17" t="s">
        <v>164</v>
      </c>
      <c r="W114" s="58" t="s">
        <v>350</v>
      </c>
      <c r="AB114" s="58" t="s">
        <v>19</v>
      </c>
      <c r="AC114" s="17">
        <f>1/1000</f>
        <v>0.001</v>
      </c>
      <c r="AD114" s="58"/>
      <c r="AE114" s="17">
        <f>15.25/7000</f>
        <v>0.0021785714285714286</v>
      </c>
      <c r="AF114" s="58" t="s">
        <v>351</v>
      </c>
    </row>
    <row r="115" spans="1:32" s="17" customFormat="1" ht="31.5" customHeight="1">
      <c r="A115" s="75" t="s">
        <v>123</v>
      </c>
      <c r="B115" s="82"/>
      <c r="C115" s="79"/>
      <c r="D115" s="51"/>
      <c r="E115" s="51"/>
      <c r="F115" s="51"/>
      <c r="G115" s="51"/>
      <c r="H115" s="52">
        <f t="shared" si="14"/>
        <v>0</v>
      </c>
      <c r="I115" s="52">
        <f t="shared" si="15"/>
        <v>0</v>
      </c>
      <c r="J115" s="53">
        <f t="shared" si="16"/>
        <v>0</v>
      </c>
      <c r="K115" s="54">
        <f t="shared" si="17"/>
        <v>0</v>
      </c>
      <c r="L115" s="55">
        <f t="shared" si="18"/>
        <v>0</v>
      </c>
      <c r="M115" s="55">
        <f t="shared" si="19"/>
        <v>0</v>
      </c>
      <c r="N115" s="55">
        <f t="shared" si="20"/>
        <v>0</v>
      </c>
      <c r="O115" s="53">
        <f t="shared" si="21"/>
        <v>0</v>
      </c>
      <c r="P115" s="54">
        <f t="shared" si="22"/>
        <v>0</v>
      </c>
      <c r="Q115" s="54">
        <f t="shared" si="23"/>
        <v>0</v>
      </c>
      <c r="R115" s="61">
        <v>10</v>
      </c>
      <c r="S115" s="17">
        <f>4.38/1000</f>
        <v>0.00438</v>
      </c>
      <c r="T115" s="57">
        <f t="shared" si="13"/>
        <v>0.438</v>
      </c>
      <c r="U115" s="15">
        <v>0.4</v>
      </c>
      <c r="V115" s="17" t="s">
        <v>212</v>
      </c>
      <c r="W115" s="58" t="s">
        <v>352</v>
      </c>
      <c r="AB115" s="58" t="s">
        <v>19</v>
      </c>
      <c r="AC115" s="17">
        <f>10/1000</f>
        <v>0.01</v>
      </c>
      <c r="AD115" s="58"/>
      <c r="AE115" s="17">
        <f>12.45/1000</f>
        <v>0.01245</v>
      </c>
      <c r="AF115" s="58" t="s">
        <v>353</v>
      </c>
    </row>
    <row r="116" spans="1:32" s="17" customFormat="1" ht="31.5" customHeight="1">
      <c r="A116" s="76" t="s">
        <v>124</v>
      </c>
      <c r="B116" s="81"/>
      <c r="C116" s="79"/>
      <c r="D116" s="51"/>
      <c r="E116" s="51"/>
      <c r="F116" s="51"/>
      <c r="G116" s="51"/>
      <c r="H116" s="52">
        <f t="shared" si="14"/>
        <v>0</v>
      </c>
      <c r="I116" s="52">
        <f t="shared" si="15"/>
        <v>0</v>
      </c>
      <c r="J116" s="53">
        <f t="shared" si="16"/>
        <v>0</v>
      </c>
      <c r="K116" s="54">
        <f t="shared" si="17"/>
        <v>0</v>
      </c>
      <c r="L116" s="55">
        <f t="shared" si="18"/>
        <v>0</v>
      </c>
      <c r="M116" s="55">
        <f t="shared" si="19"/>
        <v>0</v>
      </c>
      <c r="N116" s="55">
        <f t="shared" si="20"/>
        <v>0</v>
      </c>
      <c r="O116" s="53">
        <f t="shared" si="21"/>
        <v>0</v>
      </c>
      <c r="P116" s="54">
        <f t="shared" si="22"/>
        <v>0</v>
      </c>
      <c r="Q116" s="54">
        <f t="shared" si="23"/>
        <v>0</v>
      </c>
      <c r="R116" s="15">
        <v>500</v>
      </c>
      <c r="S116" s="17">
        <f>0.9/500</f>
        <v>0.0018</v>
      </c>
      <c r="T116" s="57">
        <f t="shared" si="13"/>
        <v>0.18</v>
      </c>
      <c r="U116" s="17">
        <v>0</v>
      </c>
      <c r="V116" s="17" t="s">
        <v>164</v>
      </c>
      <c r="W116" s="58" t="s">
        <v>354</v>
      </c>
      <c r="AB116" s="58" t="s">
        <v>19</v>
      </c>
      <c r="AC116" s="17">
        <f>0.9/500</f>
        <v>0.0018</v>
      </c>
      <c r="AD116" s="58"/>
      <c r="AE116" s="17">
        <f>2.35/500</f>
        <v>0.0047</v>
      </c>
      <c r="AF116" s="58" t="s">
        <v>355</v>
      </c>
    </row>
    <row r="117" spans="1:32" s="17" customFormat="1" ht="31.5" customHeight="1">
      <c r="A117" s="75" t="s">
        <v>125</v>
      </c>
      <c r="B117" s="81"/>
      <c r="C117" s="79"/>
      <c r="D117" s="51"/>
      <c r="E117" s="51"/>
      <c r="F117" s="51"/>
      <c r="G117" s="51"/>
      <c r="H117" s="52">
        <f t="shared" si="14"/>
        <v>0</v>
      </c>
      <c r="I117" s="52">
        <f t="shared" si="15"/>
        <v>0</v>
      </c>
      <c r="J117" s="53">
        <f t="shared" si="16"/>
        <v>0</v>
      </c>
      <c r="K117" s="54">
        <f t="shared" si="17"/>
        <v>0</v>
      </c>
      <c r="L117" s="55">
        <f t="shared" si="18"/>
        <v>0</v>
      </c>
      <c r="M117" s="55">
        <f t="shared" si="19"/>
        <v>0</v>
      </c>
      <c r="N117" s="55">
        <f t="shared" si="20"/>
        <v>0</v>
      </c>
      <c r="O117" s="53">
        <f t="shared" si="21"/>
        <v>0</v>
      </c>
      <c r="P117" s="54">
        <f t="shared" si="22"/>
        <v>0</v>
      </c>
      <c r="Q117" s="54">
        <f t="shared" si="23"/>
        <v>0</v>
      </c>
      <c r="R117" s="15">
        <v>14</v>
      </c>
      <c r="S117" s="17">
        <f>9.72/1000</f>
        <v>0.009720000000000001</v>
      </c>
      <c r="T117" s="57">
        <f t="shared" si="13"/>
        <v>0.9720000000000001</v>
      </c>
      <c r="U117" s="15"/>
      <c r="V117" s="17" t="s">
        <v>164</v>
      </c>
      <c r="W117" s="58" t="s">
        <v>357</v>
      </c>
      <c r="AB117" s="58" t="s">
        <v>19</v>
      </c>
      <c r="AC117" s="17">
        <f>9.15/1000</f>
        <v>0.00915</v>
      </c>
      <c r="AD117" s="58"/>
      <c r="AE117" s="17">
        <f>(2.05/4)/14</f>
        <v>0.03660714285714285</v>
      </c>
      <c r="AF117" s="58" t="s">
        <v>359</v>
      </c>
    </row>
    <row r="118" spans="1:32" s="17" customFormat="1" ht="31.5" customHeight="1">
      <c r="A118" s="75" t="s">
        <v>126</v>
      </c>
      <c r="B118" s="81"/>
      <c r="C118" s="79"/>
      <c r="D118" s="51"/>
      <c r="E118" s="51"/>
      <c r="F118" s="51"/>
      <c r="G118" s="51"/>
      <c r="H118" s="52">
        <f t="shared" si="14"/>
        <v>0</v>
      </c>
      <c r="I118" s="52">
        <f t="shared" si="15"/>
        <v>0</v>
      </c>
      <c r="J118" s="53">
        <f t="shared" si="16"/>
        <v>0</v>
      </c>
      <c r="K118" s="54">
        <f t="shared" si="17"/>
        <v>0</v>
      </c>
      <c r="L118" s="55">
        <f t="shared" si="18"/>
        <v>0</v>
      </c>
      <c r="M118" s="55">
        <f t="shared" si="19"/>
        <v>0</v>
      </c>
      <c r="N118" s="55">
        <f t="shared" si="20"/>
        <v>0</v>
      </c>
      <c r="O118" s="53">
        <f t="shared" si="21"/>
        <v>0</v>
      </c>
      <c r="P118" s="54">
        <f t="shared" si="22"/>
        <v>0</v>
      </c>
      <c r="Q118" s="54">
        <f t="shared" si="23"/>
        <v>0</v>
      </c>
      <c r="R118" s="15">
        <v>100</v>
      </c>
      <c r="S118" s="17">
        <f>0.775/100</f>
        <v>0.00775</v>
      </c>
      <c r="T118" s="57">
        <f t="shared" si="13"/>
        <v>0.775</v>
      </c>
      <c r="U118" s="15">
        <v>0</v>
      </c>
      <c r="V118" s="17" t="s">
        <v>212</v>
      </c>
      <c r="W118" s="64" t="s">
        <v>356</v>
      </c>
      <c r="AB118" s="58" t="s">
        <v>19</v>
      </c>
      <c r="AC118" s="17">
        <f>0.82/180</f>
        <v>0.004555555555555555</v>
      </c>
      <c r="AD118" s="58"/>
      <c r="AE118" s="17">
        <f>3.15/100</f>
        <v>0.0315</v>
      </c>
      <c r="AF118" s="58" t="s">
        <v>358</v>
      </c>
    </row>
    <row r="119" spans="1:32" s="17" customFormat="1" ht="31.5" customHeight="1">
      <c r="A119" s="75" t="s">
        <v>127</v>
      </c>
      <c r="B119" s="82"/>
      <c r="C119" s="79"/>
      <c r="D119" s="51"/>
      <c r="E119" s="51"/>
      <c r="F119" s="51"/>
      <c r="G119" s="51"/>
      <c r="H119" s="52">
        <f t="shared" si="14"/>
        <v>0</v>
      </c>
      <c r="I119" s="52">
        <f t="shared" si="15"/>
        <v>0</v>
      </c>
      <c r="J119" s="53">
        <f t="shared" si="16"/>
        <v>0</v>
      </c>
      <c r="K119" s="54">
        <f t="shared" si="17"/>
        <v>0</v>
      </c>
      <c r="L119" s="55">
        <f t="shared" si="18"/>
        <v>0</v>
      </c>
      <c r="M119" s="55">
        <f t="shared" si="19"/>
        <v>0</v>
      </c>
      <c r="N119" s="55">
        <f t="shared" si="20"/>
        <v>0</v>
      </c>
      <c r="O119" s="53">
        <f t="shared" si="21"/>
        <v>0</v>
      </c>
      <c r="P119" s="54">
        <f t="shared" si="22"/>
        <v>0</v>
      </c>
      <c r="Q119" s="54">
        <f t="shared" si="23"/>
        <v>0</v>
      </c>
      <c r="R119" s="17">
        <v>5</v>
      </c>
      <c r="S119" s="17">
        <f>8/1000</f>
        <v>0.008</v>
      </c>
      <c r="T119" s="57">
        <f t="shared" si="13"/>
        <v>0.8</v>
      </c>
      <c r="U119" s="15">
        <v>0.5</v>
      </c>
      <c r="V119" s="74" t="s">
        <v>164</v>
      </c>
      <c r="W119" s="58" t="s">
        <v>376</v>
      </c>
      <c r="X119" s="74" t="s">
        <v>377</v>
      </c>
      <c r="AB119" s="58" t="s">
        <v>19</v>
      </c>
      <c r="AC119" s="17">
        <f>8.15/1000</f>
        <v>0.008150000000000001</v>
      </c>
      <c r="AD119" s="58"/>
      <c r="AE119" s="17">
        <f>12.5/1000</f>
        <v>0.0125</v>
      </c>
      <c r="AF119" s="58" t="s">
        <v>360</v>
      </c>
    </row>
    <row r="120" spans="1:32" s="17" customFormat="1" ht="31.5" customHeight="1">
      <c r="A120" s="75" t="s">
        <v>128</v>
      </c>
      <c r="B120" s="81"/>
      <c r="C120" s="79"/>
      <c r="D120" s="51"/>
      <c r="E120" s="51"/>
      <c r="F120" s="51"/>
      <c r="G120" s="51"/>
      <c r="H120" s="52">
        <f t="shared" si="14"/>
        <v>0</v>
      </c>
      <c r="I120" s="52">
        <f t="shared" si="15"/>
        <v>0</v>
      </c>
      <c r="J120" s="53">
        <f t="shared" si="16"/>
        <v>0</v>
      </c>
      <c r="K120" s="54">
        <f t="shared" si="17"/>
        <v>0</v>
      </c>
      <c r="L120" s="55">
        <f t="shared" si="18"/>
        <v>0</v>
      </c>
      <c r="M120" s="55">
        <f t="shared" si="19"/>
        <v>0</v>
      </c>
      <c r="N120" s="55">
        <f t="shared" si="20"/>
        <v>0</v>
      </c>
      <c r="O120" s="53">
        <f t="shared" si="21"/>
        <v>0</v>
      </c>
      <c r="P120" s="54">
        <f t="shared" si="22"/>
        <v>0</v>
      </c>
      <c r="Q120" s="54">
        <f t="shared" si="23"/>
        <v>0</v>
      </c>
      <c r="R120" s="17">
        <v>25</v>
      </c>
      <c r="S120" s="17">
        <f>1.9/1000</f>
        <v>0.0019</v>
      </c>
      <c r="T120" s="57">
        <f t="shared" si="13"/>
        <v>0.19</v>
      </c>
      <c r="U120" s="15">
        <v>0.5</v>
      </c>
      <c r="V120" s="17" t="s">
        <v>212</v>
      </c>
      <c r="W120" s="58" t="s">
        <v>362</v>
      </c>
      <c r="AB120" s="58" t="s">
        <v>19</v>
      </c>
      <c r="AC120" s="17">
        <f>6.67/1000</f>
        <v>0.00667</v>
      </c>
      <c r="AD120" s="58"/>
      <c r="AE120" s="17">
        <f>10/1000</f>
        <v>0.01</v>
      </c>
      <c r="AF120" s="58" t="s">
        <v>361</v>
      </c>
    </row>
    <row r="121" spans="1:32" s="17" customFormat="1" ht="31.5" customHeight="1">
      <c r="A121" s="76" t="s">
        <v>129</v>
      </c>
      <c r="B121" s="81"/>
      <c r="C121" s="79"/>
      <c r="D121" s="51"/>
      <c r="E121" s="51"/>
      <c r="F121" s="51"/>
      <c r="G121" s="51"/>
      <c r="H121" s="52">
        <f t="shared" si="14"/>
        <v>0</v>
      </c>
      <c r="I121" s="52">
        <f t="shared" si="15"/>
        <v>0</v>
      </c>
      <c r="J121" s="53">
        <f t="shared" si="16"/>
        <v>0</v>
      </c>
      <c r="K121" s="54">
        <f t="shared" si="17"/>
        <v>0</v>
      </c>
      <c r="L121" s="55">
        <f t="shared" si="18"/>
        <v>0</v>
      </c>
      <c r="M121" s="55">
        <f t="shared" si="19"/>
        <v>0</v>
      </c>
      <c r="N121" s="55">
        <f t="shared" si="20"/>
        <v>0</v>
      </c>
      <c r="O121" s="53">
        <f t="shared" si="21"/>
        <v>0</v>
      </c>
      <c r="P121" s="54">
        <f t="shared" si="22"/>
        <v>0</v>
      </c>
      <c r="Q121" s="54">
        <f t="shared" si="23"/>
        <v>0</v>
      </c>
      <c r="R121" s="17">
        <v>60</v>
      </c>
      <c r="S121" s="17">
        <f>2.4/1000</f>
        <v>0.0024</v>
      </c>
      <c r="T121" s="57">
        <f t="shared" si="13"/>
        <v>0.24</v>
      </c>
      <c r="U121" s="17">
        <v>0</v>
      </c>
      <c r="V121" s="17" t="s">
        <v>341</v>
      </c>
      <c r="W121" s="58" t="s">
        <v>363</v>
      </c>
      <c r="AB121" s="58" t="s">
        <v>19</v>
      </c>
      <c r="AC121" s="17">
        <v>0.0028599999999999997</v>
      </c>
      <c r="AD121" s="58"/>
      <c r="AE121" s="17">
        <f>3.15/750</f>
        <v>0.0042</v>
      </c>
      <c r="AF121" s="58" t="s">
        <v>364</v>
      </c>
    </row>
    <row r="122" spans="1:32" s="17" customFormat="1" ht="31.5" customHeight="1">
      <c r="A122" s="75" t="s">
        <v>130</v>
      </c>
      <c r="B122" s="81"/>
      <c r="C122" s="79"/>
      <c r="D122" s="51"/>
      <c r="E122" s="51"/>
      <c r="F122" s="51"/>
      <c r="G122" s="51"/>
      <c r="H122" s="52">
        <f t="shared" si="14"/>
        <v>0</v>
      </c>
      <c r="I122" s="52">
        <f t="shared" si="15"/>
        <v>0</v>
      </c>
      <c r="J122" s="53">
        <f t="shared" si="16"/>
        <v>0</v>
      </c>
      <c r="K122" s="54">
        <f t="shared" si="17"/>
        <v>0</v>
      </c>
      <c r="L122" s="55">
        <f t="shared" si="18"/>
        <v>0</v>
      </c>
      <c r="M122" s="55">
        <f t="shared" si="19"/>
        <v>0</v>
      </c>
      <c r="N122" s="55">
        <f t="shared" si="20"/>
        <v>0</v>
      </c>
      <c r="O122" s="53">
        <f t="shared" si="21"/>
        <v>0</v>
      </c>
      <c r="P122" s="54">
        <f t="shared" si="22"/>
        <v>0</v>
      </c>
      <c r="Q122" s="54">
        <f t="shared" si="23"/>
        <v>0</v>
      </c>
      <c r="R122" s="15">
        <v>1</v>
      </c>
      <c r="S122" s="17">
        <f>17.34/1000</f>
        <v>0.01734</v>
      </c>
      <c r="T122" s="57">
        <f t="shared" si="13"/>
        <v>1.7340000000000002</v>
      </c>
      <c r="U122" s="15">
        <v>0</v>
      </c>
      <c r="V122" s="17" t="s">
        <v>164</v>
      </c>
      <c r="W122" s="58" t="s">
        <v>366</v>
      </c>
      <c r="AB122" s="58" t="s">
        <v>19</v>
      </c>
      <c r="AC122" s="17">
        <f>15.34/1000</f>
        <v>0.01534</v>
      </c>
      <c r="AD122" s="58"/>
      <c r="AE122" s="17">
        <f>2.47/100</f>
        <v>0.024700000000000003</v>
      </c>
      <c r="AF122" s="58" t="s">
        <v>365</v>
      </c>
    </row>
    <row r="123" spans="1:32" s="17" customFormat="1" ht="31.5" customHeight="1">
      <c r="A123" s="75" t="s">
        <v>131</v>
      </c>
      <c r="B123" s="82"/>
      <c r="C123" s="79"/>
      <c r="D123" s="51"/>
      <c r="E123" s="51"/>
      <c r="F123" s="51"/>
      <c r="G123" s="51"/>
      <c r="H123" s="52">
        <f t="shared" si="14"/>
        <v>0</v>
      </c>
      <c r="I123" s="52">
        <f t="shared" si="15"/>
        <v>0</v>
      </c>
      <c r="J123" s="53">
        <f t="shared" si="16"/>
        <v>0</v>
      </c>
      <c r="K123" s="54">
        <f t="shared" si="17"/>
        <v>0</v>
      </c>
      <c r="L123" s="55">
        <f t="shared" si="18"/>
        <v>0</v>
      </c>
      <c r="M123" s="55">
        <f t="shared" si="19"/>
        <v>0</v>
      </c>
      <c r="N123" s="55">
        <f t="shared" si="20"/>
        <v>0</v>
      </c>
      <c r="O123" s="53">
        <f t="shared" si="21"/>
        <v>0</v>
      </c>
      <c r="P123" s="54">
        <f t="shared" si="22"/>
        <v>0</v>
      </c>
      <c r="Q123" s="54">
        <f t="shared" si="23"/>
        <v>0</v>
      </c>
      <c r="R123" s="15">
        <v>1</v>
      </c>
      <c r="S123" s="17">
        <f>15/1000</f>
        <v>0.015</v>
      </c>
      <c r="T123" s="57">
        <f t="shared" si="13"/>
        <v>1.5</v>
      </c>
      <c r="U123" s="15">
        <v>0.25</v>
      </c>
      <c r="V123" s="17" t="s">
        <v>341</v>
      </c>
      <c r="W123" s="58" t="s">
        <v>340</v>
      </c>
      <c r="AB123" s="58" t="s">
        <v>19</v>
      </c>
      <c r="AC123" s="17">
        <f>16/1000</f>
        <v>0.016</v>
      </c>
      <c r="AD123" s="58"/>
      <c r="AE123" s="17">
        <f>3.05/125</f>
        <v>0.024399999999999998</v>
      </c>
      <c r="AF123" s="58" t="s">
        <v>342</v>
      </c>
    </row>
    <row r="124" spans="1:32" ht="15.75">
      <c r="A124" s="5"/>
      <c r="B124" s="3"/>
      <c r="C124" s="3"/>
      <c r="D124" s="3"/>
      <c r="E124" s="19"/>
      <c r="F124" s="19"/>
      <c r="G124" s="19"/>
      <c r="H124" s="3"/>
      <c r="I124" s="3"/>
      <c r="J124" s="3"/>
      <c r="K124" s="3"/>
      <c r="L124" s="19"/>
      <c r="M124" s="19"/>
      <c r="N124" s="19"/>
      <c r="O124" s="3"/>
      <c r="P124" s="3"/>
      <c r="Q124" s="3"/>
      <c r="R124" s="3"/>
      <c r="S124" s="2"/>
      <c r="T124" s="3"/>
      <c r="U124" s="3"/>
      <c r="V124" s="3"/>
      <c r="W124" s="3"/>
      <c r="X124" s="3"/>
      <c r="Y124" s="3"/>
      <c r="Z124" s="3"/>
      <c r="AD124" s="3"/>
      <c r="AE124" s="3"/>
      <c r="AF124" s="3"/>
    </row>
    <row r="125" spans="1:32" ht="15.75">
      <c r="A125" s="5"/>
      <c r="B125" s="3"/>
      <c r="C125" s="3"/>
      <c r="D125" s="3"/>
      <c r="E125" s="19"/>
      <c r="F125" s="19"/>
      <c r="G125" s="19"/>
      <c r="H125" s="3"/>
      <c r="I125" s="3"/>
      <c r="J125" s="3"/>
      <c r="K125" s="3"/>
      <c r="L125" s="19"/>
      <c r="M125" s="19"/>
      <c r="N125" s="19"/>
      <c r="O125" s="3"/>
      <c r="P125" s="3"/>
      <c r="Q125" s="3"/>
      <c r="R125" s="3"/>
      <c r="S125" s="2"/>
      <c r="T125" s="3"/>
      <c r="U125" s="3"/>
      <c r="V125" s="3"/>
      <c r="W125" s="3"/>
      <c r="X125" s="3"/>
      <c r="Y125" s="3"/>
      <c r="Z125" s="3"/>
      <c r="AD125" s="3"/>
      <c r="AE125" s="3"/>
      <c r="AF125" s="3"/>
    </row>
    <row r="126" spans="1:32" ht="15.75">
      <c r="A126" s="5"/>
      <c r="B126" s="3"/>
      <c r="C126" s="3"/>
      <c r="D126" s="3"/>
      <c r="E126" s="19"/>
      <c r="F126" s="19"/>
      <c r="G126" s="19"/>
      <c r="H126" s="3"/>
      <c r="I126" s="3"/>
      <c r="J126" s="3"/>
      <c r="K126" s="3"/>
      <c r="L126" s="19"/>
      <c r="M126" s="19"/>
      <c r="N126" s="19"/>
      <c r="O126" s="3"/>
      <c r="P126" s="3"/>
      <c r="Q126" s="3"/>
      <c r="R126" s="3"/>
      <c r="S126" s="2"/>
      <c r="T126" s="3"/>
      <c r="U126" s="3"/>
      <c r="V126" s="3"/>
      <c r="W126" s="3"/>
      <c r="X126" s="3"/>
      <c r="Y126" s="3"/>
      <c r="Z126" s="3"/>
      <c r="AD126" s="3"/>
      <c r="AE126" s="3"/>
      <c r="AF126" s="3"/>
    </row>
    <row r="127" spans="1:32" ht="15.75">
      <c r="A127" s="5"/>
      <c r="B127" s="3"/>
      <c r="C127" s="3"/>
      <c r="D127" s="3"/>
      <c r="E127" s="19"/>
      <c r="F127" s="19"/>
      <c r="G127" s="19"/>
      <c r="H127" s="3"/>
      <c r="I127" s="3"/>
      <c r="J127" s="3"/>
      <c r="K127" s="3"/>
      <c r="L127" s="19"/>
      <c r="M127" s="19"/>
      <c r="N127" s="19"/>
      <c r="O127" s="3"/>
      <c r="P127" s="3"/>
      <c r="Q127" s="3"/>
      <c r="R127" s="3"/>
      <c r="S127" s="2"/>
      <c r="T127" s="3"/>
      <c r="U127" s="3"/>
      <c r="V127" s="3"/>
      <c r="W127" s="3"/>
      <c r="X127" s="3"/>
      <c r="Y127" s="3"/>
      <c r="Z127" s="3"/>
      <c r="AD127" s="3"/>
      <c r="AE127" s="3"/>
      <c r="AF127" s="3"/>
    </row>
    <row r="128" spans="1:32" ht="15.75">
      <c r="A128" s="5"/>
      <c r="B128" s="3"/>
      <c r="C128" s="3"/>
      <c r="D128" s="3"/>
      <c r="E128" s="19"/>
      <c r="F128" s="19"/>
      <c r="G128" s="19"/>
      <c r="H128" s="3"/>
      <c r="I128" s="3"/>
      <c r="J128" s="3"/>
      <c r="K128" s="3"/>
      <c r="L128" s="19"/>
      <c r="M128" s="19"/>
      <c r="N128" s="19"/>
      <c r="O128" s="3"/>
      <c r="P128" s="3"/>
      <c r="Q128" s="3"/>
      <c r="R128" s="3"/>
      <c r="S128" s="2"/>
      <c r="T128" s="3"/>
      <c r="U128" s="3"/>
      <c r="V128" s="3"/>
      <c r="W128" s="3"/>
      <c r="X128" s="3"/>
      <c r="Y128" s="3"/>
      <c r="Z128" s="3"/>
      <c r="AD128" s="3"/>
      <c r="AE128" s="3"/>
      <c r="AF128" s="3"/>
    </row>
    <row r="129" spans="1:32" ht="15.75">
      <c r="A129" s="5"/>
      <c r="B129" s="3"/>
      <c r="C129" s="3"/>
      <c r="D129" s="3"/>
      <c r="E129" s="19"/>
      <c r="F129" s="19"/>
      <c r="G129" s="19"/>
      <c r="H129" s="3"/>
      <c r="I129" s="3"/>
      <c r="J129" s="3"/>
      <c r="K129" s="3"/>
      <c r="L129" s="19"/>
      <c r="M129" s="19"/>
      <c r="N129" s="19"/>
      <c r="O129" s="3"/>
      <c r="P129" s="3"/>
      <c r="Q129" s="3"/>
      <c r="R129" s="3"/>
      <c r="S129" s="2"/>
      <c r="T129" s="3"/>
      <c r="U129" s="3"/>
      <c r="V129" s="3"/>
      <c r="W129" s="3"/>
      <c r="X129" s="3"/>
      <c r="Y129" s="3"/>
      <c r="Z129" s="3"/>
      <c r="AD129" s="3"/>
      <c r="AE129" s="3"/>
      <c r="AF129" s="3"/>
    </row>
    <row r="130" spans="1:32" ht="15.75">
      <c r="A130" s="5"/>
      <c r="B130" s="3"/>
      <c r="C130" s="3"/>
      <c r="D130" s="3"/>
      <c r="E130" s="19"/>
      <c r="F130" s="19"/>
      <c r="G130" s="19"/>
      <c r="H130" s="3"/>
      <c r="I130" s="3"/>
      <c r="J130" s="3"/>
      <c r="K130" s="3"/>
      <c r="L130" s="19"/>
      <c r="M130" s="19"/>
      <c r="N130" s="19"/>
      <c r="O130" s="3"/>
      <c r="P130" s="3"/>
      <c r="Q130" s="3"/>
      <c r="R130" s="3"/>
      <c r="S130" s="2"/>
      <c r="T130" s="3"/>
      <c r="U130" s="3"/>
      <c r="V130" s="3"/>
      <c r="W130" s="3"/>
      <c r="X130" s="3"/>
      <c r="Y130" s="3"/>
      <c r="Z130" s="3"/>
      <c r="AD130" s="3"/>
      <c r="AE130" s="3"/>
      <c r="AF130" s="3"/>
    </row>
    <row r="131" spans="1:32" ht="15.75">
      <c r="A131" s="5"/>
      <c r="B131" s="3"/>
      <c r="C131" s="3"/>
      <c r="D131" s="3"/>
      <c r="E131" s="19"/>
      <c r="F131" s="19"/>
      <c r="G131" s="19"/>
      <c r="H131" s="3"/>
      <c r="I131" s="3"/>
      <c r="J131" s="3"/>
      <c r="K131" s="3"/>
      <c r="L131" s="19"/>
      <c r="M131" s="19"/>
      <c r="N131" s="19"/>
      <c r="O131" s="3"/>
      <c r="P131" s="3"/>
      <c r="Q131" s="3"/>
      <c r="R131" s="3"/>
      <c r="S131" s="2"/>
      <c r="T131" s="3"/>
      <c r="U131" s="3"/>
      <c r="V131" s="3"/>
      <c r="W131" s="3"/>
      <c r="X131" s="3"/>
      <c r="Y131" s="3"/>
      <c r="Z131" s="3"/>
      <c r="AD131" s="3"/>
      <c r="AE131" s="3"/>
      <c r="AF131" s="3"/>
    </row>
    <row r="132" spans="1:32" ht="15.75">
      <c r="A132" s="5"/>
      <c r="B132" s="3"/>
      <c r="C132" s="3"/>
      <c r="D132" s="3"/>
      <c r="E132" s="19"/>
      <c r="F132" s="19"/>
      <c r="G132" s="19"/>
      <c r="H132" s="3"/>
      <c r="I132" s="3"/>
      <c r="J132" s="3"/>
      <c r="K132" s="3"/>
      <c r="L132" s="19"/>
      <c r="M132" s="19"/>
      <c r="N132" s="19"/>
      <c r="O132" s="3"/>
      <c r="P132" s="3"/>
      <c r="Q132" s="3"/>
      <c r="R132" s="3"/>
      <c r="S132" s="2"/>
      <c r="T132" s="3"/>
      <c r="U132" s="3"/>
      <c r="V132" s="3"/>
      <c r="W132" s="3"/>
      <c r="X132" s="3"/>
      <c r="Y132" s="3"/>
      <c r="Z132" s="3"/>
      <c r="AD132" s="3"/>
      <c r="AE132" s="3"/>
      <c r="AF132" s="3"/>
    </row>
    <row r="133" spans="1:32" ht="15.75">
      <c r="A133" s="5"/>
      <c r="B133" s="3"/>
      <c r="C133" s="3"/>
      <c r="D133" s="3"/>
      <c r="E133" s="19"/>
      <c r="F133" s="19"/>
      <c r="G133" s="19"/>
      <c r="H133" s="3"/>
      <c r="I133" s="3"/>
      <c r="J133" s="3"/>
      <c r="K133" s="3"/>
      <c r="L133" s="19"/>
      <c r="M133" s="19"/>
      <c r="N133" s="19"/>
      <c r="O133" s="3"/>
      <c r="P133" s="3"/>
      <c r="Q133" s="3"/>
      <c r="R133" s="3"/>
      <c r="S133" s="2"/>
      <c r="T133" s="3"/>
      <c r="U133" s="3"/>
      <c r="V133" s="3"/>
      <c r="W133" s="3"/>
      <c r="X133" s="3"/>
      <c r="Y133" s="3"/>
      <c r="Z133" s="3"/>
      <c r="AD133" s="3"/>
      <c r="AE133" s="3"/>
      <c r="AF133" s="3"/>
    </row>
    <row r="134" spans="1:32" ht="15.75">
      <c r="A134" s="5"/>
      <c r="B134" s="3"/>
      <c r="C134" s="3"/>
      <c r="D134" s="3"/>
      <c r="E134" s="19"/>
      <c r="F134" s="19"/>
      <c r="G134" s="19"/>
      <c r="H134" s="3"/>
      <c r="I134" s="3"/>
      <c r="J134" s="3"/>
      <c r="K134" s="3"/>
      <c r="L134" s="19"/>
      <c r="M134" s="19"/>
      <c r="N134" s="19"/>
      <c r="O134" s="3"/>
      <c r="P134" s="3"/>
      <c r="Q134" s="3"/>
      <c r="R134" s="3"/>
      <c r="S134" s="2"/>
      <c r="T134" s="3"/>
      <c r="U134" s="3"/>
      <c r="V134" s="3"/>
      <c r="W134" s="3"/>
      <c r="X134" s="3"/>
      <c r="Y134" s="3"/>
      <c r="Z134" s="3"/>
      <c r="AD134" s="3"/>
      <c r="AE134" s="3"/>
      <c r="AF134" s="3"/>
    </row>
    <row r="135" spans="1:32" ht="15.75">
      <c r="A135" s="5"/>
      <c r="B135" s="3"/>
      <c r="C135" s="3"/>
      <c r="D135" s="3"/>
      <c r="E135" s="19"/>
      <c r="F135" s="19"/>
      <c r="G135" s="19"/>
      <c r="H135" s="3"/>
      <c r="I135" s="3"/>
      <c r="J135" s="3"/>
      <c r="K135" s="3"/>
      <c r="L135" s="19"/>
      <c r="M135" s="19"/>
      <c r="N135" s="19"/>
      <c r="O135" s="3"/>
      <c r="P135" s="3"/>
      <c r="Q135" s="3"/>
      <c r="R135" s="3"/>
      <c r="S135" s="2"/>
      <c r="T135" s="3"/>
      <c r="U135" s="3"/>
      <c r="V135" s="3"/>
      <c r="W135" s="3"/>
      <c r="X135" s="3"/>
      <c r="Y135" s="3"/>
      <c r="Z135" s="3"/>
      <c r="AD135" s="3"/>
      <c r="AE135" s="3"/>
      <c r="AF135" s="3"/>
    </row>
    <row r="136" spans="1:32" ht="15.75">
      <c r="A136" s="5"/>
      <c r="B136" s="3"/>
      <c r="C136" s="3"/>
      <c r="D136" s="3"/>
      <c r="E136" s="19"/>
      <c r="F136" s="19"/>
      <c r="G136" s="19"/>
      <c r="H136" s="3"/>
      <c r="I136" s="3"/>
      <c r="J136" s="3"/>
      <c r="K136" s="3"/>
      <c r="L136" s="19"/>
      <c r="M136" s="19"/>
      <c r="N136" s="19"/>
      <c r="O136" s="3"/>
      <c r="P136" s="3"/>
      <c r="Q136" s="3"/>
      <c r="R136" s="3"/>
      <c r="S136" s="2"/>
      <c r="T136" s="3"/>
      <c r="U136" s="3"/>
      <c r="V136" s="3"/>
      <c r="W136" s="3"/>
      <c r="X136" s="3"/>
      <c r="Y136" s="3"/>
      <c r="Z136" s="3"/>
      <c r="AD136" s="3"/>
      <c r="AE136" s="3"/>
      <c r="AF136" s="3"/>
    </row>
    <row r="137" spans="1:32" ht="15.75">
      <c r="A137" s="5"/>
      <c r="B137" s="3"/>
      <c r="C137" s="3"/>
      <c r="D137" s="3"/>
      <c r="E137" s="19"/>
      <c r="F137" s="19"/>
      <c r="G137" s="19"/>
      <c r="H137" s="3"/>
      <c r="I137" s="3"/>
      <c r="J137" s="3"/>
      <c r="K137" s="3"/>
      <c r="L137" s="19"/>
      <c r="M137" s="19"/>
      <c r="N137" s="19"/>
      <c r="O137" s="3"/>
      <c r="P137" s="3"/>
      <c r="Q137" s="3"/>
      <c r="R137" s="3"/>
      <c r="S137" s="2"/>
      <c r="T137" s="3"/>
      <c r="U137" s="3"/>
      <c r="V137" s="3"/>
      <c r="W137" s="3"/>
      <c r="X137" s="3"/>
      <c r="Y137" s="3"/>
      <c r="Z137" s="3"/>
      <c r="AD137" s="3"/>
      <c r="AE137" s="3"/>
      <c r="AF137" s="3"/>
    </row>
    <row r="138" spans="1:32" ht="15.75">
      <c r="A138" s="5"/>
      <c r="B138" s="3"/>
      <c r="C138" s="3"/>
      <c r="D138" s="3"/>
      <c r="E138" s="19"/>
      <c r="F138" s="19"/>
      <c r="G138" s="19"/>
      <c r="H138" s="3"/>
      <c r="I138" s="3"/>
      <c r="J138" s="3"/>
      <c r="K138" s="3"/>
      <c r="L138" s="19"/>
      <c r="M138" s="19"/>
      <c r="N138" s="19"/>
      <c r="O138" s="3"/>
      <c r="P138" s="3"/>
      <c r="Q138" s="3"/>
      <c r="R138" s="3"/>
      <c r="S138" s="2"/>
      <c r="T138" s="3"/>
      <c r="U138" s="3"/>
      <c r="V138" s="3"/>
      <c r="W138" s="3"/>
      <c r="X138" s="3"/>
      <c r="Y138" s="3"/>
      <c r="Z138" s="3"/>
      <c r="AD138" s="3"/>
      <c r="AE138" s="3"/>
      <c r="AF138" s="3"/>
    </row>
    <row r="139" spans="1:32" ht="15.75">
      <c r="A139" s="5"/>
      <c r="B139" s="3"/>
      <c r="C139" s="3"/>
      <c r="D139" s="3"/>
      <c r="E139" s="19"/>
      <c r="F139" s="19"/>
      <c r="G139" s="19"/>
      <c r="H139" s="3"/>
      <c r="I139" s="3"/>
      <c r="J139" s="3"/>
      <c r="K139" s="3"/>
      <c r="L139" s="19"/>
      <c r="M139" s="19"/>
      <c r="N139" s="19"/>
      <c r="O139" s="3"/>
      <c r="P139" s="3"/>
      <c r="Q139" s="3"/>
      <c r="R139" s="3"/>
      <c r="S139" s="2"/>
      <c r="T139" s="3"/>
      <c r="U139" s="3"/>
      <c r="V139" s="3"/>
      <c r="W139" s="3"/>
      <c r="X139" s="3"/>
      <c r="Y139" s="3"/>
      <c r="Z139" s="3"/>
      <c r="AD139" s="3"/>
      <c r="AE139" s="3"/>
      <c r="AF139" s="3"/>
    </row>
    <row r="140" spans="1:32" ht="15.75">
      <c r="A140" s="5"/>
      <c r="B140" s="3"/>
      <c r="C140" s="3"/>
      <c r="D140" s="3"/>
      <c r="E140" s="19"/>
      <c r="F140" s="19"/>
      <c r="G140" s="19"/>
      <c r="H140" s="3"/>
      <c r="I140" s="3"/>
      <c r="J140" s="3"/>
      <c r="K140" s="3"/>
      <c r="L140" s="19"/>
      <c r="M140" s="19"/>
      <c r="N140" s="19"/>
      <c r="O140" s="3"/>
      <c r="P140" s="3"/>
      <c r="Q140" s="3"/>
      <c r="R140" s="3"/>
      <c r="S140" s="2"/>
      <c r="T140" s="3"/>
      <c r="U140" s="3"/>
      <c r="V140" s="3"/>
      <c r="W140" s="3"/>
      <c r="X140" s="3"/>
      <c r="Y140" s="3"/>
      <c r="Z140" s="3"/>
      <c r="AD140" s="3"/>
      <c r="AE140" s="3"/>
      <c r="AF140" s="3"/>
    </row>
    <row r="141" spans="1:32" ht="15.75">
      <c r="A141" s="5"/>
      <c r="B141" s="3"/>
      <c r="C141" s="3"/>
      <c r="D141" s="3"/>
      <c r="E141" s="19"/>
      <c r="F141" s="19"/>
      <c r="G141" s="19"/>
      <c r="H141" s="3"/>
      <c r="I141" s="3"/>
      <c r="J141" s="3"/>
      <c r="K141" s="3"/>
      <c r="L141" s="19"/>
      <c r="M141" s="19"/>
      <c r="N141" s="19"/>
      <c r="O141" s="3"/>
      <c r="P141" s="3"/>
      <c r="Q141" s="3"/>
      <c r="R141" s="3"/>
      <c r="S141" s="2"/>
      <c r="T141" s="3"/>
      <c r="U141" s="3"/>
      <c r="V141" s="3"/>
      <c r="W141" s="3"/>
      <c r="X141" s="3"/>
      <c r="Y141" s="3"/>
      <c r="Z141" s="3"/>
      <c r="AD141" s="3"/>
      <c r="AE141" s="3"/>
      <c r="AF141" s="3"/>
    </row>
    <row r="142" spans="1:32" ht="15.75">
      <c r="A142" s="5"/>
      <c r="B142" s="3"/>
      <c r="C142" s="3"/>
      <c r="D142" s="3"/>
      <c r="E142" s="19"/>
      <c r="F142" s="19"/>
      <c r="G142" s="19"/>
      <c r="H142" s="3"/>
      <c r="I142" s="3"/>
      <c r="J142" s="3"/>
      <c r="K142" s="3"/>
      <c r="L142" s="19"/>
      <c r="M142" s="19"/>
      <c r="N142" s="19"/>
      <c r="O142" s="3"/>
      <c r="P142" s="3"/>
      <c r="Q142" s="3"/>
      <c r="R142" s="3"/>
      <c r="S142" s="2"/>
      <c r="T142" s="3"/>
      <c r="U142" s="3"/>
      <c r="V142" s="3"/>
      <c r="W142" s="3"/>
      <c r="X142" s="3"/>
      <c r="Y142" s="3"/>
      <c r="Z142" s="3"/>
      <c r="AD142" s="3"/>
      <c r="AE142" s="3"/>
      <c r="AF142" s="3"/>
    </row>
    <row r="143" spans="1:32" ht="15.75">
      <c r="A143" s="5"/>
      <c r="B143" s="3"/>
      <c r="C143" s="3"/>
      <c r="D143" s="3"/>
      <c r="E143" s="19"/>
      <c r="F143" s="19"/>
      <c r="G143" s="19"/>
      <c r="H143" s="3"/>
      <c r="I143" s="3"/>
      <c r="J143" s="3"/>
      <c r="K143" s="3"/>
      <c r="L143" s="19"/>
      <c r="M143" s="19"/>
      <c r="N143" s="19"/>
      <c r="O143" s="3"/>
      <c r="P143" s="3"/>
      <c r="Q143" s="3"/>
      <c r="R143" s="3"/>
      <c r="S143" s="2"/>
      <c r="T143" s="3"/>
      <c r="U143" s="3"/>
      <c r="V143" s="3"/>
      <c r="W143" s="3"/>
      <c r="X143" s="3"/>
      <c r="Y143" s="3"/>
      <c r="Z143" s="3"/>
      <c r="AD143" s="3"/>
      <c r="AE143" s="3"/>
      <c r="AF143" s="3"/>
    </row>
    <row r="144" spans="1:32" ht="15.75">
      <c r="A144" s="5"/>
      <c r="B144" s="3"/>
      <c r="C144" s="3"/>
      <c r="D144" s="3"/>
      <c r="E144" s="19"/>
      <c r="F144" s="19"/>
      <c r="G144" s="19"/>
      <c r="H144" s="3"/>
      <c r="I144" s="3"/>
      <c r="J144" s="3"/>
      <c r="K144" s="3"/>
      <c r="L144" s="19"/>
      <c r="M144" s="19"/>
      <c r="N144" s="19"/>
      <c r="O144" s="3"/>
      <c r="P144" s="3"/>
      <c r="Q144" s="3"/>
      <c r="R144" s="3"/>
      <c r="S144" s="2"/>
      <c r="T144" s="3"/>
      <c r="U144" s="3"/>
      <c r="V144" s="3"/>
      <c r="W144" s="3"/>
      <c r="X144" s="3"/>
      <c r="Y144" s="3"/>
      <c r="Z144" s="3"/>
      <c r="AD144" s="3"/>
      <c r="AE144" s="3"/>
      <c r="AF144" s="3"/>
    </row>
    <row r="145" spans="1:32" ht="15.75">
      <c r="A145" s="5"/>
      <c r="B145" s="3"/>
      <c r="C145" s="3"/>
      <c r="D145" s="3"/>
      <c r="E145" s="19"/>
      <c r="F145" s="19"/>
      <c r="G145" s="19"/>
      <c r="H145" s="3"/>
      <c r="I145" s="3"/>
      <c r="J145" s="3"/>
      <c r="K145" s="3"/>
      <c r="L145" s="19"/>
      <c r="M145" s="19"/>
      <c r="N145" s="19"/>
      <c r="O145" s="3"/>
      <c r="P145" s="3"/>
      <c r="Q145" s="3"/>
      <c r="R145" s="3"/>
      <c r="S145" s="2"/>
      <c r="T145" s="3"/>
      <c r="U145" s="3"/>
      <c r="V145" s="3"/>
      <c r="W145" s="3"/>
      <c r="X145" s="3"/>
      <c r="Y145" s="3"/>
      <c r="Z145" s="3"/>
      <c r="AD145" s="3"/>
      <c r="AE145" s="3"/>
      <c r="AF145" s="3"/>
    </row>
    <row r="146" spans="1:32" ht="15.75">
      <c r="A146" s="5"/>
      <c r="B146" s="3"/>
      <c r="C146" s="3"/>
      <c r="D146" s="3"/>
      <c r="E146" s="19"/>
      <c r="F146" s="19"/>
      <c r="G146" s="19"/>
      <c r="H146" s="3"/>
      <c r="I146" s="3"/>
      <c r="J146" s="3"/>
      <c r="K146" s="3"/>
      <c r="L146" s="19"/>
      <c r="M146" s="19"/>
      <c r="N146" s="19"/>
      <c r="O146" s="3"/>
      <c r="P146" s="3"/>
      <c r="Q146" s="3"/>
      <c r="R146" s="3"/>
      <c r="S146" s="2"/>
      <c r="T146" s="3"/>
      <c r="U146" s="3"/>
      <c r="V146" s="3"/>
      <c r="W146" s="3"/>
      <c r="X146" s="3"/>
      <c r="Y146" s="3"/>
      <c r="Z146" s="3"/>
      <c r="AD146" s="3"/>
      <c r="AE146" s="3"/>
      <c r="AF146" s="3"/>
    </row>
    <row r="147" spans="1:32" ht="15.75">
      <c r="A147" s="5"/>
      <c r="B147" s="3"/>
      <c r="C147" s="3"/>
      <c r="D147" s="3"/>
      <c r="E147" s="19"/>
      <c r="F147" s="19"/>
      <c r="G147" s="19"/>
      <c r="H147" s="3"/>
      <c r="I147" s="3"/>
      <c r="J147" s="3"/>
      <c r="K147" s="3"/>
      <c r="L147" s="19"/>
      <c r="M147" s="19"/>
      <c r="N147" s="19"/>
      <c r="O147" s="3"/>
      <c r="P147" s="3"/>
      <c r="Q147" s="3"/>
      <c r="R147" s="3"/>
      <c r="S147" s="2"/>
      <c r="T147" s="3"/>
      <c r="U147" s="3"/>
      <c r="V147" s="3"/>
      <c r="W147" s="3"/>
      <c r="X147" s="3"/>
      <c r="Y147" s="3"/>
      <c r="Z147" s="3"/>
      <c r="AD147" s="3"/>
      <c r="AE147" s="3"/>
      <c r="AF147" s="3"/>
    </row>
    <row r="148" spans="1:32" ht="15.75">
      <c r="A148" s="5"/>
      <c r="B148" s="3"/>
      <c r="C148" s="3"/>
      <c r="D148" s="3"/>
      <c r="E148" s="19"/>
      <c r="F148" s="19"/>
      <c r="G148" s="19"/>
      <c r="H148" s="3"/>
      <c r="I148" s="3"/>
      <c r="J148" s="3"/>
      <c r="K148" s="3"/>
      <c r="L148" s="19"/>
      <c r="M148" s="19"/>
      <c r="N148" s="19"/>
      <c r="O148" s="3"/>
      <c r="P148" s="3"/>
      <c r="Q148" s="3"/>
      <c r="R148" s="3"/>
      <c r="S148" s="2"/>
      <c r="T148" s="3"/>
      <c r="U148" s="3"/>
      <c r="V148" s="3"/>
      <c r="W148" s="3"/>
      <c r="X148" s="3"/>
      <c r="Y148" s="3"/>
      <c r="Z148" s="3"/>
      <c r="AD148" s="3"/>
      <c r="AE148" s="3"/>
      <c r="AF148" s="3"/>
    </row>
    <row r="149" spans="1:32" ht="15.75">
      <c r="A149" s="5"/>
      <c r="B149" s="3"/>
      <c r="C149" s="3"/>
      <c r="D149" s="3"/>
      <c r="E149" s="19"/>
      <c r="F149" s="19"/>
      <c r="G149" s="19"/>
      <c r="H149" s="3"/>
      <c r="I149" s="3"/>
      <c r="J149" s="3"/>
      <c r="K149" s="3"/>
      <c r="L149" s="19"/>
      <c r="M149" s="19"/>
      <c r="N149" s="19"/>
      <c r="O149" s="3"/>
      <c r="P149" s="3"/>
      <c r="Q149" s="3"/>
      <c r="R149" s="3"/>
      <c r="S149" s="2"/>
      <c r="T149" s="3"/>
      <c r="U149" s="3"/>
      <c r="V149" s="3"/>
      <c r="W149" s="3"/>
      <c r="X149" s="3"/>
      <c r="Y149" s="3"/>
      <c r="Z149" s="3"/>
      <c r="AD149" s="3"/>
      <c r="AE149" s="3"/>
      <c r="AF149" s="3"/>
    </row>
    <row r="150" spans="1:32" ht="15.75">
      <c r="A150" s="5"/>
      <c r="B150" s="3"/>
      <c r="C150" s="3"/>
      <c r="D150" s="3"/>
      <c r="E150" s="19"/>
      <c r="F150" s="19"/>
      <c r="G150" s="19"/>
      <c r="H150" s="3"/>
      <c r="I150" s="3"/>
      <c r="J150" s="3"/>
      <c r="K150" s="3"/>
      <c r="L150" s="19"/>
      <c r="M150" s="19"/>
      <c r="N150" s="19"/>
      <c r="O150" s="3"/>
      <c r="P150" s="3"/>
      <c r="Q150" s="3"/>
      <c r="R150" s="3"/>
      <c r="S150" s="2"/>
      <c r="T150" s="3"/>
      <c r="U150" s="3"/>
      <c r="V150" s="3"/>
      <c r="W150" s="3"/>
      <c r="X150" s="3"/>
      <c r="Y150" s="3"/>
      <c r="Z150" s="3"/>
      <c r="AD150" s="3"/>
      <c r="AE150" s="3"/>
      <c r="AF150" s="3"/>
    </row>
    <row r="151" spans="1:32" ht="15.75">
      <c r="A151" s="1"/>
      <c r="R151" s="2"/>
      <c r="S151" s="2"/>
      <c r="X151" s="3"/>
      <c r="Y151" s="3"/>
      <c r="Z151" s="3"/>
      <c r="AD151" s="2"/>
      <c r="AE151" s="2"/>
      <c r="AF151" s="2"/>
    </row>
    <row r="152" spans="1:32" ht="15.75">
      <c r="A152" s="1"/>
      <c r="R152" s="2"/>
      <c r="S152" s="2"/>
      <c r="X152" s="3"/>
      <c r="Y152" s="3"/>
      <c r="Z152" s="3"/>
      <c r="AD152" s="2"/>
      <c r="AE152" s="2"/>
      <c r="AF152" s="2"/>
    </row>
    <row r="153" spans="1:32" ht="15.75">
      <c r="A153" s="1"/>
      <c r="R153" s="2"/>
      <c r="S153" s="2"/>
      <c r="X153" s="3"/>
      <c r="Y153" s="3"/>
      <c r="Z153" s="3"/>
      <c r="AD153" s="2"/>
      <c r="AE153" s="2"/>
      <c r="AF153" s="2"/>
    </row>
    <row r="154" spans="1:32" ht="15.75">
      <c r="A154" s="1"/>
      <c r="R154" s="2"/>
      <c r="S154" s="2"/>
      <c r="X154" s="3"/>
      <c r="Y154" s="3"/>
      <c r="Z154" s="3"/>
      <c r="AD154" s="2"/>
      <c r="AE154" s="2"/>
      <c r="AF154" s="2"/>
    </row>
    <row r="155" spans="1:32" ht="15.75">
      <c r="A155" s="1"/>
      <c r="R155" s="2"/>
      <c r="S155" s="2"/>
      <c r="X155" s="3"/>
      <c r="Y155" s="3"/>
      <c r="Z155" s="3"/>
      <c r="AD155" s="2"/>
      <c r="AE155" s="2"/>
      <c r="AF155" s="2"/>
    </row>
    <row r="156" spans="1:32" ht="15.75">
      <c r="A156" s="1"/>
      <c r="R156" s="2"/>
      <c r="S156" s="2"/>
      <c r="X156" s="3"/>
      <c r="Y156" s="3"/>
      <c r="Z156" s="3"/>
      <c r="AD156" s="2"/>
      <c r="AE156" s="2"/>
      <c r="AF156" s="2"/>
    </row>
    <row r="157" spans="1:32" ht="15.75">
      <c r="A157" s="1"/>
      <c r="R157" s="2"/>
      <c r="S157" s="2"/>
      <c r="X157" s="3"/>
      <c r="Y157" s="3"/>
      <c r="Z157" s="3"/>
      <c r="AD157" s="2"/>
      <c r="AE157" s="2"/>
      <c r="AF157" s="2"/>
    </row>
    <row r="158" spans="1:32" ht="15.75">
      <c r="A158" s="1"/>
      <c r="R158" s="2"/>
      <c r="S158" s="2"/>
      <c r="X158" s="3"/>
      <c r="Y158" s="3"/>
      <c r="Z158" s="3"/>
      <c r="AD158" s="2"/>
      <c r="AE158" s="2"/>
      <c r="AF158" s="2"/>
    </row>
    <row r="159" spans="1:32" ht="15.75">
      <c r="A159" s="1"/>
      <c r="R159" s="2"/>
      <c r="S159" s="2"/>
      <c r="X159" s="3"/>
      <c r="Y159" s="3"/>
      <c r="Z159" s="3"/>
      <c r="AD159" s="2"/>
      <c r="AE159" s="2"/>
      <c r="AF159" s="2"/>
    </row>
    <row r="160" spans="1:32" ht="15.75">
      <c r="A160" s="1"/>
      <c r="R160" s="2"/>
      <c r="S160" s="2"/>
      <c r="X160" s="3"/>
      <c r="Y160" s="3"/>
      <c r="Z160" s="3"/>
      <c r="AD160" s="2"/>
      <c r="AE160" s="2"/>
      <c r="AF160" s="2"/>
    </row>
    <row r="161" spans="1:32" ht="15.75">
      <c r="A161" s="1"/>
      <c r="R161" s="2"/>
      <c r="S161" s="2"/>
      <c r="X161" s="3"/>
      <c r="Y161" s="3"/>
      <c r="Z161" s="3"/>
      <c r="AD161" s="2"/>
      <c r="AE161" s="2"/>
      <c r="AF161" s="2"/>
    </row>
    <row r="162" spans="1:32" ht="15.75">
      <c r="A162" s="1"/>
      <c r="R162" s="2"/>
      <c r="S162" s="2"/>
      <c r="X162" s="3"/>
      <c r="Y162" s="3"/>
      <c r="Z162" s="3"/>
      <c r="AD162" s="2"/>
      <c r="AE162" s="2"/>
      <c r="AF162" s="2"/>
    </row>
    <row r="163" spans="1:32" ht="15.75">
      <c r="A163" s="1"/>
      <c r="R163" s="2"/>
      <c r="S163" s="2"/>
      <c r="X163" s="3"/>
      <c r="Y163" s="3"/>
      <c r="Z163" s="3"/>
      <c r="AD163" s="2"/>
      <c r="AE163" s="2"/>
      <c r="AF163" s="2"/>
    </row>
    <row r="164" spans="1:32" ht="15.75">
      <c r="A164" s="1"/>
      <c r="R164" s="2"/>
      <c r="S164" s="2"/>
      <c r="X164" s="3"/>
      <c r="Y164" s="3"/>
      <c r="Z164" s="3"/>
      <c r="AD164" s="2"/>
      <c r="AE164" s="2"/>
      <c r="AF164" s="2"/>
    </row>
    <row r="165" spans="1:32" ht="15.75">
      <c r="A165" s="1"/>
      <c r="R165" s="2"/>
      <c r="S165" s="2"/>
      <c r="X165" s="3"/>
      <c r="Y165" s="3"/>
      <c r="Z165" s="3"/>
      <c r="AD165" s="2"/>
      <c r="AE165" s="2"/>
      <c r="AF165" s="2"/>
    </row>
    <row r="166" spans="1:32" ht="15.75">
      <c r="A166" s="1"/>
      <c r="R166" s="2"/>
      <c r="S166" s="2"/>
      <c r="X166" s="3"/>
      <c r="Y166" s="3"/>
      <c r="Z166" s="3"/>
      <c r="AD166" s="2"/>
      <c r="AE166" s="2"/>
      <c r="AF166" s="2"/>
    </row>
    <row r="167" spans="1:32" ht="15.75">
      <c r="A167" s="1"/>
      <c r="R167" s="2"/>
      <c r="S167" s="2"/>
      <c r="X167" s="3"/>
      <c r="Y167" s="3"/>
      <c r="Z167" s="3"/>
      <c r="AD167" s="2"/>
      <c r="AE167" s="2"/>
      <c r="AF167" s="2"/>
    </row>
    <row r="168" spans="1:32" ht="15.75">
      <c r="A168" s="1"/>
      <c r="R168" s="2"/>
      <c r="S168" s="2"/>
      <c r="X168" s="3"/>
      <c r="Y168" s="3"/>
      <c r="Z168" s="3"/>
      <c r="AD168" s="2"/>
      <c r="AE168" s="2"/>
      <c r="AF168" s="2"/>
    </row>
    <row r="169" spans="1:32" ht="15.75">
      <c r="A169" s="1"/>
      <c r="R169" s="2"/>
      <c r="S169" s="2"/>
      <c r="X169" s="3"/>
      <c r="Y169" s="3"/>
      <c r="Z169" s="3"/>
      <c r="AD169" s="2"/>
      <c r="AE169" s="2"/>
      <c r="AF169" s="2"/>
    </row>
    <row r="170" spans="1:32" ht="15.75">
      <c r="A170" s="1"/>
      <c r="R170" s="2"/>
      <c r="S170" s="2"/>
      <c r="X170" s="3"/>
      <c r="Y170" s="3"/>
      <c r="Z170" s="3"/>
      <c r="AD170" s="2"/>
      <c r="AE170" s="2"/>
      <c r="AF170" s="2"/>
    </row>
    <row r="171" spans="1:32" ht="15.75">
      <c r="A171" s="1"/>
      <c r="R171" s="2"/>
      <c r="S171" s="2"/>
      <c r="X171" s="3"/>
      <c r="Y171" s="3"/>
      <c r="Z171" s="3"/>
      <c r="AD171" s="2"/>
      <c r="AE171" s="2"/>
      <c r="AF171" s="2"/>
    </row>
    <row r="172" spans="1:32" ht="15.75">
      <c r="A172" s="1"/>
      <c r="R172" s="2"/>
      <c r="S172" s="2"/>
      <c r="X172" s="3"/>
      <c r="Y172" s="3"/>
      <c r="Z172" s="3"/>
      <c r="AD172" s="2"/>
      <c r="AE172" s="2"/>
      <c r="AF172" s="2"/>
    </row>
    <row r="173" spans="1:32" ht="15.75">
      <c r="A173" s="1"/>
      <c r="R173" s="2"/>
      <c r="S173" s="2"/>
      <c r="X173" s="3"/>
      <c r="Y173" s="3"/>
      <c r="Z173" s="3"/>
      <c r="AD173" s="2"/>
      <c r="AE173" s="2"/>
      <c r="AF173" s="2"/>
    </row>
    <row r="174" spans="1:32" ht="15.75">
      <c r="A174" s="1"/>
      <c r="R174" s="2"/>
      <c r="S174" s="2"/>
      <c r="X174" s="3"/>
      <c r="Y174" s="3"/>
      <c r="Z174" s="3"/>
      <c r="AD174" s="2"/>
      <c r="AE174" s="2"/>
      <c r="AF174" s="2"/>
    </row>
    <row r="175" spans="1:32" ht="15.75">
      <c r="A175" s="1"/>
      <c r="R175" s="2"/>
      <c r="S175" s="2"/>
      <c r="X175" s="3"/>
      <c r="Y175" s="3"/>
      <c r="Z175" s="3"/>
      <c r="AD175" s="2"/>
      <c r="AE175" s="2"/>
      <c r="AF175" s="2"/>
    </row>
    <row r="176" spans="1:32" ht="15.75">
      <c r="A176" s="1"/>
      <c r="R176" s="2"/>
      <c r="S176" s="2"/>
      <c r="X176" s="3"/>
      <c r="Y176" s="3"/>
      <c r="Z176" s="3"/>
      <c r="AD176" s="2"/>
      <c r="AE176" s="2"/>
      <c r="AF176" s="2"/>
    </row>
    <row r="177" spans="1:32" ht="15.75">
      <c r="A177" s="1"/>
      <c r="R177" s="2"/>
      <c r="S177" s="2"/>
      <c r="X177" s="3"/>
      <c r="Y177" s="3"/>
      <c r="Z177" s="3"/>
      <c r="AD177" s="2"/>
      <c r="AE177" s="2"/>
      <c r="AF177" s="2"/>
    </row>
    <row r="178" spans="1:32" ht="15.75">
      <c r="A178" s="1"/>
      <c r="R178" s="2"/>
      <c r="S178" s="2"/>
      <c r="X178" s="3"/>
      <c r="Y178" s="3"/>
      <c r="Z178" s="3"/>
      <c r="AD178" s="2"/>
      <c r="AE178" s="2"/>
      <c r="AF178" s="2"/>
    </row>
    <row r="179" spans="1:32" ht="15.75">
      <c r="A179" s="1"/>
      <c r="R179" s="2"/>
      <c r="S179" s="2"/>
      <c r="X179" s="3"/>
      <c r="Y179" s="3"/>
      <c r="Z179" s="3"/>
      <c r="AD179" s="2"/>
      <c r="AE179" s="2"/>
      <c r="AF179" s="2"/>
    </row>
    <row r="180" spans="1:32" ht="15.75">
      <c r="A180" s="1"/>
      <c r="R180" s="2"/>
      <c r="S180" s="2"/>
      <c r="X180" s="3"/>
      <c r="Y180" s="3"/>
      <c r="Z180" s="3"/>
      <c r="AD180" s="2"/>
      <c r="AE180" s="2"/>
      <c r="AF180" s="2"/>
    </row>
    <row r="181" spans="1:32" ht="15.75">
      <c r="A181" s="1"/>
      <c r="R181" s="2"/>
      <c r="S181" s="2"/>
      <c r="X181" s="3"/>
      <c r="Y181" s="3"/>
      <c r="Z181" s="3"/>
      <c r="AD181" s="2"/>
      <c r="AE181" s="2"/>
      <c r="AF181" s="2"/>
    </row>
    <row r="182" spans="1:32" ht="15.75">
      <c r="A182" s="1"/>
      <c r="R182" s="2"/>
      <c r="S182" s="2"/>
      <c r="X182" s="3"/>
      <c r="Y182" s="3"/>
      <c r="Z182" s="3"/>
      <c r="AD182" s="2"/>
      <c r="AE182" s="2"/>
      <c r="AF182" s="2"/>
    </row>
    <row r="183" spans="1:32" ht="15.75">
      <c r="A183" s="1"/>
      <c r="R183" s="2"/>
      <c r="S183" s="2"/>
      <c r="X183" s="3"/>
      <c r="Y183" s="3"/>
      <c r="Z183" s="3"/>
      <c r="AD183" s="2"/>
      <c r="AE183" s="2"/>
      <c r="AF183" s="2"/>
    </row>
    <row r="184" spans="1:32" ht="15.75">
      <c r="A184" s="1"/>
      <c r="R184" s="2"/>
      <c r="S184" s="2"/>
      <c r="X184" s="3"/>
      <c r="Y184" s="3"/>
      <c r="Z184" s="3"/>
      <c r="AD184" s="2"/>
      <c r="AE184" s="2"/>
      <c r="AF184" s="2"/>
    </row>
    <row r="185" spans="1:32" ht="15.75">
      <c r="A185" s="1"/>
      <c r="R185" s="2"/>
      <c r="S185" s="2"/>
      <c r="X185" s="3"/>
      <c r="Y185" s="3"/>
      <c r="Z185" s="3"/>
      <c r="AD185" s="2"/>
      <c r="AE185" s="2"/>
      <c r="AF185" s="2"/>
    </row>
    <row r="186" spans="1:32" ht="15.75">
      <c r="A186" s="1"/>
      <c r="R186" s="2"/>
      <c r="S186" s="2"/>
      <c r="X186" s="3"/>
      <c r="Y186" s="3"/>
      <c r="Z186" s="3"/>
      <c r="AD186" s="2"/>
      <c r="AE186" s="2"/>
      <c r="AF186" s="2"/>
    </row>
    <row r="187" spans="1:32" ht="15.75">
      <c r="A187" s="1"/>
      <c r="R187" s="2"/>
      <c r="S187" s="2"/>
      <c r="X187" s="3"/>
      <c r="Y187" s="3"/>
      <c r="Z187" s="3"/>
      <c r="AD187" s="2"/>
      <c r="AE187" s="2"/>
      <c r="AF187" s="2"/>
    </row>
    <row r="188" spans="1:32" ht="15.75">
      <c r="A188" s="1"/>
      <c r="R188" s="2"/>
      <c r="S188" s="2"/>
      <c r="X188" s="3"/>
      <c r="Y188" s="3"/>
      <c r="Z188" s="3"/>
      <c r="AD188" s="2"/>
      <c r="AE188" s="2"/>
      <c r="AF188" s="2"/>
    </row>
    <row r="189" spans="1:32" ht="15.75">
      <c r="A189" s="1"/>
      <c r="R189" s="2"/>
      <c r="S189" s="2"/>
      <c r="X189" s="3"/>
      <c r="Y189" s="3"/>
      <c r="Z189" s="3"/>
      <c r="AD189" s="2"/>
      <c r="AE189" s="2"/>
      <c r="AF189" s="2"/>
    </row>
    <row r="190" spans="1:32" ht="15.75">
      <c r="A190" s="1"/>
      <c r="R190" s="2"/>
      <c r="S190" s="2"/>
      <c r="X190" s="3"/>
      <c r="Y190" s="3"/>
      <c r="Z190" s="3"/>
      <c r="AD190" s="2"/>
      <c r="AE190" s="2"/>
      <c r="AF190" s="2"/>
    </row>
    <row r="191" spans="1:32" ht="15.75">
      <c r="A191" s="1"/>
      <c r="R191" s="2"/>
      <c r="S191" s="2"/>
      <c r="X191" s="3"/>
      <c r="Y191" s="3"/>
      <c r="Z191" s="3"/>
      <c r="AD191" s="2"/>
      <c r="AE191" s="2"/>
      <c r="AF191" s="2"/>
    </row>
    <row r="192" spans="1:32" ht="15.75">
      <c r="A192" s="1"/>
      <c r="R192" s="2"/>
      <c r="S192" s="2"/>
      <c r="X192" s="3"/>
      <c r="Y192" s="3"/>
      <c r="Z192" s="3"/>
      <c r="AD192" s="2"/>
      <c r="AE192" s="2"/>
      <c r="AF192" s="2"/>
    </row>
    <row r="193" spans="1:32" ht="15.75">
      <c r="A193" s="1"/>
      <c r="R193" s="2"/>
      <c r="S193" s="2"/>
      <c r="X193" s="3"/>
      <c r="Y193" s="3"/>
      <c r="Z193" s="3"/>
      <c r="AD193" s="2"/>
      <c r="AE193" s="2"/>
      <c r="AF193" s="2"/>
    </row>
    <row r="194" spans="1:32" ht="15.75">
      <c r="A194" s="1"/>
      <c r="R194" s="2"/>
      <c r="S194" s="2"/>
      <c r="X194" s="3"/>
      <c r="Y194" s="3"/>
      <c r="Z194" s="3"/>
      <c r="AD194" s="2"/>
      <c r="AE194" s="2"/>
      <c r="AF194" s="2"/>
    </row>
    <row r="195" spans="1:32" ht="15.75">
      <c r="A195" s="1"/>
      <c r="R195" s="2"/>
      <c r="S195" s="2"/>
      <c r="X195" s="3"/>
      <c r="Y195" s="3"/>
      <c r="Z195" s="3"/>
      <c r="AD195" s="2"/>
      <c r="AE195" s="2"/>
      <c r="AF195" s="2"/>
    </row>
    <row r="196" spans="1:32" ht="15.75">
      <c r="A196" s="1"/>
      <c r="R196" s="2"/>
      <c r="S196" s="2"/>
      <c r="X196" s="3"/>
      <c r="Y196" s="3"/>
      <c r="Z196" s="3"/>
      <c r="AD196" s="2"/>
      <c r="AE196" s="2"/>
      <c r="AF196" s="2"/>
    </row>
    <row r="197" spans="1:32" ht="15.75">
      <c r="A197" s="1"/>
      <c r="R197" s="2"/>
      <c r="S197" s="2"/>
      <c r="X197" s="3"/>
      <c r="Y197" s="3"/>
      <c r="Z197" s="3"/>
      <c r="AD197" s="2"/>
      <c r="AE197" s="2"/>
      <c r="AF197" s="2"/>
    </row>
    <row r="198" spans="1:32" ht="15.75">
      <c r="A198" s="1"/>
      <c r="R198" s="2"/>
      <c r="S198" s="2"/>
      <c r="X198" s="3"/>
      <c r="Y198" s="3"/>
      <c r="Z198" s="3"/>
      <c r="AD198" s="2"/>
      <c r="AE198" s="2"/>
      <c r="AF198" s="2"/>
    </row>
    <row r="199" spans="1:32" ht="15.75">
      <c r="A199" s="1"/>
      <c r="R199" s="2"/>
      <c r="S199" s="2"/>
      <c r="X199" s="3"/>
      <c r="Y199" s="3"/>
      <c r="Z199" s="3"/>
      <c r="AD199" s="2"/>
      <c r="AE199" s="2"/>
      <c r="AF199" s="2"/>
    </row>
    <row r="200" spans="1:32" ht="15.75">
      <c r="A200" s="1"/>
      <c r="R200" s="2"/>
      <c r="S200" s="2"/>
      <c r="X200" s="3"/>
      <c r="Y200" s="3"/>
      <c r="Z200" s="3"/>
      <c r="AD200" s="2"/>
      <c r="AE200" s="2"/>
      <c r="AF200" s="2"/>
    </row>
    <row r="201" spans="1:32" ht="15.75">
      <c r="A201" s="1"/>
      <c r="R201" s="2"/>
      <c r="S201" s="2"/>
      <c r="X201" s="3"/>
      <c r="Y201" s="3"/>
      <c r="Z201" s="3"/>
      <c r="AD201" s="2"/>
      <c r="AE201" s="2"/>
      <c r="AF201" s="2"/>
    </row>
    <row r="202" spans="1:32" ht="15.75">
      <c r="A202" s="1"/>
      <c r="R202" s="2"/>
      <c r="S202" s="2"/>
      <c r="X202" s="3"/>
      <c r="Y202" s="3"/>
      <c r="Z202" s="3"/>
      <c r="AD202" s="2"/>
      <c r="AE202" s="2"/>
      <c r="AF202" s="2"/>
    </row>
    <row r="203" spans="1:32" ht="15.75">
      <c r="A203" s="1"/>
      <c r="R203" s="2"/>
      <c r="S203" s="2"/>
      <c r="X203" s="3"/>
      <c r="Y203" s="3"/>
      <c r="Z203" s="3"/>
      <c r="AD203" s="2"/>
      <c r="AE203" s="2"/>
      <c r="AF203" s="2"/>
    </row>
    <row r="204" spans="1:32" ht="15.75">
      <c r="A204" s="1"/>
      <c r="R204" s="2"/>
      <c r="S204" s="2"/>
      <c r="X204" s="3"/>
      <c r="Y204" s="3"/>
      <c r="Z204" s="3"/>
      <c r="AD204" s="2"/>
      <c r="AE204" s="2"/>
      <c r="AF204" s="2"/>
    </row>
    <row r="205" spans="1:32" ht="15.75">
      <c r="A205" s="1"/>
      <c r="R205" s="2"/>
      <c r="S205" s="2"/>
      <c r="X205" s="3"/>
      <c r="Y205" s="3"/>
      <c r="Z205" s="3"/>
      <c r="AD205" s="2"/>
      <c r="AE205" s="2"/>
      <c r="AF205" s="2"/>
    </row>
    <row r="206" spans="1:32" ht="15.75">
      <c r="A206" s="1"/>
      <c r="R206" s="2"/>
      <c r="S206" s="2"/>
      <c r="X206" s="3"/>
      <c r="Y206" s="3"/>
      <c r="Z206" s="3"/>
      <c r="AD206" s="2"/>
      <c r="AE206" s="2"/>
      <c r="AF206" s="2"/>
    </row>
    <row r="207" spans="1:32" ht="15.75">
      <c r="A207" s="1"/>
      <c r="R207" s="2"/>
      <c r="S207" s="2"/>
      <c r="X207" s="3"/>
      <c r="Y207" s="3"/>
      <c r="Z207" s="3"/>
      <c r="AD207" s="2"/>
      <c r="AE207" s="2"/>
      <c r="AF207" s="2"/>
    </row>
    <row r="208" spans="1:32" ht="15.75">
      <c r="A208" s="1"/>
      <c r="R208" s="2"/>
      <c r="S208" s="2"/>
      <c r="X208" s="3"/>
      <c r="Y208" s="3"/>
      <c r="Z208" s="3"/>
      <c r="AD208" s="2"/>
      <c r="AE208" s="2"/>
      <c r="AF208" s="2"/>
    </row>
    <row r="209" spans="1:32" ht="15.75">
      <c r="A209" s="1"/>
      <c r="R209" s="2"/>
      <c r="S209" s="2"/>
      <c r="X209" s="3"/>
      <c r="Y209" s="3"/>
      <c r="Z209" s="3"/>
      <c r="AD209" s="2"/>
      <c r="AE209" s="2"/>
      <c r="AF209" s="2"/>
    </row>
    <row r="210" spans="1:32" ht="15.75">
      <c r="A210" s="1"/>
      <c r="R210" s="2"/>
      <c r="S210" s="2"/>
      <c r="X210" s="3"/>
      <c r="Y210" s="3"/>
      <c r="Z210" s="3"/>
      <c r="AD210" s="2"/>
      <c r="AE210" s="2"/>
      <c r="AF210" s="2"/>
    </row>
    <row r="211" spans="1:32" ht="15.75">
      <c r="A211" s="1"/>
      <c r="R211" s="2"/>
      <c r="S211" s="2"/>
      <c r="X211" s="3"/>
      <c r="Y211" s="3"/>
      <c r="Z211" s="3"/>
      <c r="AD211" s="2"/>
      <c r="AE211" s="2"/>
      <c r="AF211" s="2"/>
    </row>
    <row r="212" spans="1:32" ht="15.75">
      <c r="A212" s="1"/>
      <c r="R212" s="2"/>
      <c r="S212" s="2"/>
      <c r="X212" s="3"/>
      <c r="Y212" s="3"/>
      <c r="Z212" s="3"/>
      <c r="AD212" s="2"/>
      <c r="AE212" s="2"/>
      <c r="AF212" s="2"/>
    </row>
    <row r="213" spans="1:32" ht="15.75">
      <c r="A213" s="1"/>
      <c r="R213" s="2"/>
      <c r="S213" s="2"/>
      <c r="X213" s="3"/>
      <c r="Y213" s="3"/>
      <c r="Z213" s="3"/>
      <c r="AD213" s="2"/>
      <c r="AE213" s="2"/>
      <c r="AF213" s="2"/>
    </row>
    <row r="214" spans="1:32" ht="15.75">
      <c r="A214" s="1"/>
      <c r="R214" s="2"/>
      <c r="S214" s="2"/>
      <c r="X214" s="3"/>
      <c r="Y214" s="3"/>
      <c r="Z214" s="3"/>
      <c r="AD214" s="2"/>
      <c r="AE214" s="2"/>
      <c r="AF214" s="2"/>
    </row>
    <row r="215" spans="1:32" ht="15.75">
      <c r="A215" s="1"/>
      <c r="R215" s="2"/>
      <c r="S215" s="2"/>
      <c r="X215" s="3"/>
      <c r="Y215" s="3"/>
      <c r="Z215" s="3"/>
      <c r="AD215" s="2"/>
      <c r="AE215" s="2"/>
      <c r="AF215" s="2"/>
    </row>
    <row r="216" spans="1:32" ht="15.75">
      <c r="A216" s="1"/>
      <c r="R216" s="2"/>
      <c r="S216" s="2"/>
      <c r="X216" s="3"/>
      <c r="Y216" s="3"/>
      <c r="Z216" s="3"/>
      <c r="AD216" s="2"/>
      <c r="AE216" s="2"/>
      <c r="AF216" s="2"/>
    </row>
    <row r="217" spans="1:32" ht="15.75">
      <c r="A217" s="1"/>
      <c r="R217" s="2"/>
      <c r="S217" s="2"/>
      <c r="X217" s="3"/>
      <c r="Y217" s="3"/>
      <c r="Z217" s="3"/>
      <c r="AD217" s="2"/>
      <c r="AE217" s="2"/>
      <c r="AF217" s="2"/>
    </row>
    <row r="218" spans="1:32" ht="15.75">
      <c r="A218" s="1"/>
      <c r="R218" s="2"/>
      <c r="S218" s="2"/>
      <c r="X218" s="3"/>
      <c r="Y218" s="3"/>
      <c r="Z218" s="3"/>
      <c r="AD218" s="2"/>
      <c r="AE218" s="2"/>
      <c r="AF218" s="2"/>
    </row>
    <row r="219" spans="1:32" ht="15.75">
      <c r="A219" s="1"/>
      <c r="R219" s="2"/>
      <c r="S219" s="2"/>
      <c r="X219" s="3"/>
      <c r="Y219" s="3"/>
      <c r="Z219" s="3"/>
      <c r="AD219" s="2"/>
      <c r="AE219" s="2"/>
      <c r="AF219" s="2"/>
    </row>
    <row r="220" spans="1:32" ht="15.75">
      <c r="A220" s="1"/>
      <c r="R220" s="2"/>
      <c r="S220" s="2"/>
      <c r="X220" s="3"/>
      <c r="Y220" s="3"/>
      <c r="Z220" s="3"/>
      <c r="AD220" s="2"/>
      <c r="AE220" s="2"/>
      <c r="AF220" s="2"/>
    </row>
    <row r="221" spans="1:32" ht="15.75">
      <c r="A221" s="1"/>
      <c r="R221" s="2"/>
      <c r="S221" s="2"/>
      <c r="X221" s="3"/>
      <c r="Y221" s="3"/>
      <c r="Z221" s="3"/>
      <c r="AD221" s="2"/>
      <c r="AE221" s="2"/>
      <c r="AF221" s="2"/>
    </row>
    <row r="222" spans="1:32" ht="15.75">
      <c r="A222" s="1"/>
      <c r="R222" s="2"/>
      <c r="S222" s="2"/>
      <c r="X222" s="3"/>
      <c r="Y222" s="3"/>
      <c r="Z222" s="3"/>
      <c r="AD222" s="2"/>
      <c r="AE222" s="2"/>
      <c r="AF222" s="2"/>
    </row>
    <row r="223" spans="1:32" ht="15.75">
      <c r="A223" s="1"/>
      <c r="R223" s="2"/>
      <c r="S223" s="2"/>
      <c r="X223" s="3"/>
      <c r="Y223" s="3"/>
      <c r="Z223" s="3"/>
      <c r="AD223" s="2"/>
      <c r="AE223" s="2"/>
      <c r="AF223" s="2"/>
    </row>
    <row r="224" spans="1:32" ht="15.75">
      <c r="A224" s="1"/>
      <c r="R224" s="2"/>
      <c r="S224" s="2"/>
      <c r="X224" s="3"/>
      <c r="Y224" s="3"/>
      <c r="Z224" s="3"/>
      <c r="AD224" s="2"/>
      <c r="AE224" s="2"/>
      <c r="AF224" s="2"/>
    </row>
    <row r="225" spans="1:32" ht="15.75">
      <c r="A225" s="1"/>
      <c r="R225" s="2"/>
      <c r="S225" s="2"/>
      <c r="X225" s="3"/>
      <c r="Y225" s="3"/>
      <c r="Z225" s="3"/>
      <c r="AD225" s="2"/>
      <c r="AE225" s="2"/>
      <c r="AF225" s="2"/>
    </row>
    <row r="226" spans="1:32" ht="15.75">
      <c r="A226" s="1"/>
      <c r="R226" s="2"/>
      <c r="S226" s="2"/>
      <c r="X226" s="3"/>
      <c r="Y226" s="3"/>
      <c r="Z226" s="3"/>
      <c r="AD226" s="2"/>
      <c r="AE226" s="2"/>
      <c r="AF226" s="2"/>
    </row>
    <row r="227" spans="1:32" ht="15.75">
      <c r="A227" s="1"/>
      <c r="R227" s="2"/>
      <c r="S227" s="2"/>
      <c r="X227" s="3"/>
      <c r="Y227" s="3"/>
      <c r="Z227" s="3"/>
      <c r="AD227" s="2"/>
      <c r="AE227" s="2"/>
      <c r="AF227" s="2"/>
    </row>
    <row r="228" spans="1:32" ht="15.75">
      <c r="A228" s="1"/>
      <c r="R228" s="2"/>
      <c r="S228" s="2"/>
      <c r="X228" s="3"/>
      <c r="Y228" s="3"/>
      <c r="Z228" s="3"/>
      <c r="AD228" s="2"/>
      <c r="AE228" s="2"/>
      <c r="AF228" s="2"/>
    </row>
    <row r="229" spans="1:32" ht="15.75">
      <c r="A229" s="1"/>
      <c r="R229" s="2"/>
      <c r="S229" s="2"/>
      <c r="X229" s="3"/>
      <c r="Y229" s="3"/>
      <c r="Z229" s="3"/>
      <c r="AD229" s="2"/>
      <c r="AE229" s="2"/>
      <c r="AF229" s="2"/>
    </row>
    <row r="230" spans="1:32" ht="15.75">
      <c r="A230" s="1"/>
      <c r="R230" s="2"/>
      <c r="S230" s="2"/>
      <c r="X230" s="3"/>
      <c r="Y230" s="3"/>
      <c r="Z230" s="3"/>
      <c r="AD230" s="2"/>
      <c r="AE230" s="2"/>
      <c r="AF230" s="2"/>
    </row>
    <row r="231" spans="1:32" ht="15.75">
      <c r="A231" s="1"/>
      <c r="R231" s="2"/>
      <c r="S231" s="2"/>
      <c r="X231" s="3"/>
      <c r="Y231" s="3"/>
      <c r="Z231" s="3"/>
      <c r="AD231" s="2"/>
      <c r="AE231" s="2"/>
      <c r="AF231" s="2"/>
    </row>
    <row r="232" spans="1:32" ht="15.75">
      <c r="A232" s="1"/>
      <c r="R232" s="2"/>
      <c r="S232" s="2"/>
      <c r="X232" s="3"/>
      <c r="Y232" s="3"/>
      <c r="Z232" s="3"/>
      <c r="AD232" s="2"/>
      <c r="AE232" s="2"/>
      <c r="AF232" s="2"/>
    </row>
    <row r="233" spans="1:32" ht="15.75">
      <c r="A233" s="1"/>
      <c r="R233" s="2"/>
      <c r="S233" s="2"/>
      <c r="X233" s="3"/>
      <c r="Y233" s="3"/>
      <c r="Z233" s="3"/>
      <c r="AD233" s="2"/>
      <c r="AE233" s="2"/>
      <c r="AF233" s="2"/>
    </row>
    <row r="234" spans="1:32" ht="15.75">
      <c r="A234" s="1"/>
      <c r="R234" s="2"/>
      <c r="S234" s="2"/>
      <c r="X234" s="3"/>
      <c r="Y234" s="3"/>
      <c r="Z234" s="3"/>
      <c r="AD234" s="2"/>
      <c r="AE234" s="2"/>
      <c r="AF234" s="2"/>
    </row>
    <row r="235" spans="1:32" ht="15.75">
      <c r="A235" s="1"/>
      <c r="R235" s="2"/>
      <c r="S235" s="2"/>
      <c r="X235" s="3"/>
      <c r="Y235" s="3"/>
      <c r="Z235" s="3"/>
      <c r="AD235" s="2"/>
      <c r="AE235" s="2"/>
      <c r="AF235" s="2"/>
    </row>
    <row r="236" spans="1:32" ht="15.75">
      <c r="A236" s="1"/>
      <c r="R236" s="2"/>
      <c r="S236" s="2"/>
      <c r="X236" s="3"/>
      <c r="Y236" s="3"/>
      <c r="Z236" s="3"/>
      <c r="AD236" s="2"/>
      <c r="AE236" s="2"/>
      <c r="AF236" s="2"/>
    </row>
    <row r="237" spans="1:32" ht="15.75">
      <c r="A237" s="1"/>
      <c r="R237" s="2"/>
      <c r="S237" s="2"/>
      <c r="X237" s="3"/>
      <c r="Y237" s="3"/>
      <c r="Z237" s="3"/>
      <c r="AD237" s="2"/>
      <c r="AE237" s="2"/>
      <c r="AF237" s="2"/>
    </row>
    <row r="238" spans="1:32" ht="15.75">
      <c r="A238" s="1"/>
      <c r="R238" s="2"/>
      <c r="S238" s="2"/>
      <c r="X238" s="3"/>
      <c r="Y238" s="3"/>
      <c r="Z238" s="3"/>
      <c r="AD238" s="2"/>
      <c r="AE238" s="2"/>
      <c r="AF238" s="2"/>
    </row>
    <row r="239" spans="1:32" ht="15.75">
      <c r="A239" s="1"/>
      <c r="R239" s="2"/>
      <c r="S239" s="2"/>
      <c r="X239" s="3"/>
      <c r="Y239" s="3"/>
      <c r="Z239" s="3"/>
      <c r="AD239" s="2"/>
      <c r="AE239" s="2"/>
      <c r="AF239" s="2"/>
    </row>
    <row r="240" spans="1:32" ht="15.75">
      <c r="A240" s="1"/>
      <c r="R240" s="2"/>
      <c r="S240" s="2"/>
      <c r="X240" s="3"/>
      <c r="Y240" s="3"/>
      <c r="Z240" s="3"/>
      <c r="AD240" s="2"/>
      <c r="AE240" s="2"/>
      <c r="AF240" s="2"/>
    </row>
    <row r="241" spans="1:32" ht="15.75">
      <c r="A241" s="1"/>
      <c r="R241" s="2"/>
      <c r="S241" s="2"/>
      <c r="X241" s="3"/>
      <c r="Y241" s="3"/>
      <c r="Z241" s="3"/>
      <c r="AD241" s="2"/>
      <c r="AE241" s="2"/>
      <c r="AF241" s="2"/>
    </row>
    <row r="242" spans="1:32" ht="15.75">
      <c r="A242" s="1"/>
      <c r="R242" s="2"/>
      <c r="S242" s="2"/>
      <c r="X242" s="3"/>
      <c r="Y242" s="3"/>
      <c r="Z242" s="3"/>
      <c r="AD242" s="2"/>
      <c r="AE242" s="2"/>
      <c r="AF242" s="2"/>
    </row>
    <row r="243" spans="1:32" ht="15.75">
      <c r="A243" s="1"/>
      <c r="R243" s="2"/>
      <c r="S243" s="2"/>
      <c r="X243" s="3"/>
      <c r="Y243" s="3"/>
      <c r="Z243" s="3"/>
      <c r="AD243" s="2"/>
      <c r="AE243" s="2"/>
      <c r="AF243" s="2"/>
    </row>
    <row r="244" spans="1:32" ht="15.75">
      <c r="A244" s="1"/>
      <c r="R244" s="2"/>
      <c r="S244" s="2"/>
      <c r="X244" s="3"/>
      <c r="Y244" s="3"/>
      <c r="Z244" s="3"/>
      <c r="AD244" s="2"/>
      <c r="AE244" s="2"/>
      <c r="AF244" s="2"/>
    </row>
    <row r="245" spans="1:32" ht="15.75">
      <c r="A245" s="1"/>
      <c r="R245" s="2"/>
      <c r="S245" s="2"/>
      <c r="X245" s="3"/>
      <c r="Y245" s="3"/>
      <c r="Z245" s="3"/>
      <c r="AD245" s="2"/>
      <c r="AE245" s="2"/>
      <c r="AF245" s="2"/>
    </row>
    <row r="246" spans="1:32" ht="15.75">
      <c r="A246" s="1"/>
      <c r="R246" s="2"/>
      <c r="S246" s="2"/>
      <c r="X246" s="3"/>
      <c r="Y246" s="3"/>
      <c r="Z246" s="3"/>
      <c r="AD246" s="2"/>
      <c r="AE246" s="2"/>
      <c r="AF246" s="2"/>
    </row>
    <row r="247" spans="1:32" ht="15.75">
      <c r="A247" s="1"/>
      <c r="R247" s="2"/>
      <c r="S247" s="2"/>
      <c r="X247" s="3"/>
      <c r="Y247" s="3"/>
      <c r="Z247" s="3"/>
      <c r="AD247" s="2"/>
      <c r="AE247" s="2"/>
      <c r="AF247" s="2"/>
    </row>
    <row r="248" spans="1:32" ht="15.75">
      <c r="A248" s="1"/>
      <c r="R248" s="2"/>
      <c r="S248" s="2"/>
      <c r="X248" s="3"/>
      <c r="Y248" s="3"/>
      <c r="Z248" s="3"/>
      <c r="AD248" s="2"/>
      <c r="AE248" s="2"/>
      <c r="AF248" s="2"/>
    </row>
    <row r="249" spans="1:32" ht="15.75">
      <c r="A249" s="1"/>
      <c r="R249" s="2"/>
      <c r="S249" s="2"/>
      <c r="X249" s="3"/>
      <c r="Y249" s="3"/>
      <c r="Z249" s="3"/>
      <c r="AD249" s="2"/>
      <c r="AE249" s="2"/>
      <c r="AF249" s="2"/>
    </row>
    <row r="250" spans="1:32" ht="15.75">
      <c r="A250" s="1"/>
      <c r="R250" s="2"/>
      <c r="S250" s="2"/>
      <c r="X250" s="3"/>
      <c r="Y250" s="3"/>
      <c r="Z250" s="3"/>
      <c r="AD250" s="2"/>
      <c r="AE250" s="2"/>
      <c r="AF250" s="2"/>
    </row>
    <row r="251" spans="1:32" ht="15.75">
      <c r="A251" s="1"/>
      <c r="R251" s="2"/>
      <c r="S251" s="2"/>
      <c r="X251" s="3"/>
      <c r="Y251" s="3"/>
      <c r="Z251" s="3"/>
      <c r="AD251" s="2"/>
      <c r="AE251" s="2"/>
      <c r="AF251" s="2"/>
    </row>
    <row r="252" spans="1:32" ht="15.75">
      <c r="A252" s="1"/>
      <c r="R252" s="2"/>
      <c r="S252" s="2"/>
      <c r="X252" s="3"/>
      <c r="Y252" s="3"/>
      <c r="Z252" s="3"/>
      <c r="AD252" s="2"/>
      <c r="AE252" s="2"/>
      <c r="AF252" s="2"/>
    </row>
    <row r="253" spans="1:32" ht="15.75">
      <c r="A253" s="1"/>
      <c r="R253" s="2"/>
      <c r="S253" s="2"/>
      <c r="X253" s="3"/>
      <c r="Y253" s="3"/>
      <c r="Z253" s="3"/>
      <c r="AD253" s="2"/>
      <c r="AE253" s="2"/>
      <c r="AF253" s="2"/>
    </row>
    <row r="254" spans="1:32" ht="15.75">
      <c r="A254" s="1"/>
      <c r="R254" s="2"/>
      <c r="S254" s="2"/>
      <c r="X254" s="3"/>
      <c r="Y254" s="3"/>
      <c r="Z254" s="3"/>
      <c r="AD254" s="2"/>
      <c r="AE254" s="2"/>
      <c r="AF254" s="2"/>
    </row>
    <row r="255" spans="1:32" ht="15.75">
      <c r="A255" s="1"/>
      <c r="R255" s="2"/>
      <c r="S255" s="2"/>
      <c r="X255" s="3"/>
      <c r="Y255" s="3"/>
      <c r="Z255" s="3"/>
      <c r="AD255" s="2"/>
      <c r="AE255" s="2"/>
      <c r="AF255" s="2"/>
    </row>
    <row r="256" spans="1:32" ht="15.75">
      <c r="A256" s="1"/>
      <c r="R256" s="2"/>
      <c r="S256" s="2"/>
      <c r="X256" s="3"/>
      <c r="Y256" s="3"/>
      <c r="Z256" s="3"/>
      <c r="AD256" s="2"/>
      <c r="AE256" s="2"/>
      <c r="AF256" s="2"/>
    </row>
    <row r="257" spans="1:32" ht="15.75">
      <c r="A257" s="1"/>
      <c r="R257" s="2"/>
      <c r="S257" s="2"/>
      <c r="X257" s="3"/>
      <c r="Y257" s="3"/>
      <c r="Z257" s="3"/>
      <c r="AD257" s="2"/>
      <c r="AE257" s="2"/>
      <c r="AF257" s="2"/>
    </row>
    <row r="258" spans="1:32" ht="15.75">
      <c r="A258" s="1"/>
      <c r="R258" s="2"/>
      <c r="S258" s="2"/>
      <c r="X258" s="3"/>
      <c r="Y258" s="3"/>
      <c r="Z258" s="3"/>
      <c r="AD258" s="2"/>
      <c r="AE258" s="2"/>
      <c r="AF258" s="2"/>
    </row>
    <row r="259" spans="1:32" ht="15.75">
      <c r="A259" s="1"/>
      <c r="R259" s="2"/>
      <c r="S259" s="2"/>
      <c r="X259" s="3"/>
      <c r="Y259" s="3"/>
      <c r="Z259" s="3"/>
      <c r="AD259" s="2"/>
      <c r="AE259" s="2"/>
      <c r="AF259" s="2"/>
    </row>
    <row r="260" spans="1:32" ht="15.75">
      <c r="A260" s="1"/>
      <c r="R260" s="2"/>
      <c r="S260" s="2"/>
      <c r="X260" s="3"/>
      <c r="Y260" s="3"/>
      <c r="Z260" s="3"/>
      <c r="AD260" s="2"/>
      <c r="AE260" s="2"/>
      <c r="AF260" s="2"/>
    </row>
    <row r="261" spans="1:32" ht="15.75">
      <c r="A261" s="1"/>
      <c r="R261" s="2"/>
      <c r="S261" s="2"/>
      <c r="X261" s="3"/>
      <c r="Y261" s="3"/>
      <c r="Z261" s="3"/>
      <c r="AD261" s="2"/>
      <c r="AE261" s="2"/>
      <c r="AF261" s="2"/>
    </row>
    <row r="262" spans="1:32" ht="15.75">
      <c r="A262" s="1"/>
      <c r="R262" s="2"/>
      <c r="S262" s="2"/>
      <c r="X262" s="3"/>
      <c r="Y262" s="3"/>
      <c r="Z262" s="3"/>
      <c r="AD262" s="2"/>
      <c r="AE262" s="2"/>
      <c r="AF262" s="2"/>
    </row>
    <row r="263" spans="1:32" ht="15.75">
      <c r="A263" s="1"/>
      <c r="R263" s="2"/>
      <c r="S263" s="2"/>
      <c r="X263" s="3"/>
      <c r="Y263" s="3"/>
      <c r="Z263" s="3"/>
      <c r="AD263" s="2"/>
      <c r="AE263" s="2"/>
      <c r="AF263" s="2"/>
    </row>
    <row r="264" spans="1:32" ht="15.75">
      <c r="A264" s="1"/>
      <c r="R264" s="2"/>
      <c r="S264" s="2"/>
      <c r="X264" s="3"/>
      <c r="Y264" s="3"/>
      <c r="Z264" s="3"/>
      <c r="AD264" s="2"/>
      <c r="AE264" s="2"/>
      <c r="AF264" s="2"/>
    </row>
    <row r="265" spans="1:32" ht="15.75">
      <c r="A265" s="1"/>
      <c r="R265" s="2"/>
      <c r="S265" s="2"/>
      <c r="X265" s="3"/>
      <c r="Y265" s="3"/>
      <c r="Z265" s="3"/>
      <c r="AD265" s="2"/>
      <c r="AE265" s="2"/>
      <c r="AF265" s="2"/>
    </row>
    <row r="266" spans="1:32" ht="15.75">
      <c r="A266" s="1"/>
      <c r="R266" s="2"/>
      <c r="S266" s="2"/>
      <c r="X266" s="3"/>
      <c r="Y266" s="3"/>
      <c r="Z266" s="3"/>
      <c r="AD266" s="2"/>
      <c r="AE266" s="2"/>
      <c r="AF266" s="2"/>
    </row>
    <row r="267" spans="1:32" ht="15.75">
      <c r="A267" s="1"/>
      <c r="R267" s="2"/>
      <c r="S267" s="2"/>
      <c r="X267" s="3"/>
      <c r="Y267" s="3"/>
      <c r="Z267" s="3"/>
      <c r="AD267" s="2"/>
      <c r="AE267" s="2"/>
      <c r="AF267" s="2"/>
    </row>
    <row r="268" spans="1:32" ht="15.75">
      <c r="A268" s="1"/>
      <c r="R268" s="2"/>
      <c r="S268" s="2"/>
      <c r="X268" s="3"/>
      <c r="Y268" s="3"/>
      <c r="Z268" s="3"/>
      <c r="AD268" s="2"/>
      <c r="AE268" s="2"/>
      <c r="AF268" s="2"/>
    </row>
    <row r="269" spans="1:32" ht="15.75">
      <c r="A269" s="1"/>
      <c r="R269" s="2"/>
      <c r="S269" s="2"/>
      <c r="X269" s="3"/>
      <c r="Y269" s="3"/>
      <c r="Z269" s="3"/>
      <c r="AD269" s="2"/>
      <c r="AE269" s="2"/>
      <c r="AF269" s="2"/>
    </row>
    <row r="270" spans="1:32" ht="15.75">
      <c r="A270" s="1"/>
      <c r="R270" s="2"/>
      <c r="S270" s="2"/>
      <c r="X270" s="3"/>
      <c r="Y270" s="3"/>
      <c r="Z270" s="3"/>
      <c r="AD270" s="2"/>
      <c r="AE270" s="2"/>
      <c r="AF270" s="2"/>
    </row>
    <row r="271" spans="1:32" ht="15.75">
      <c r="A271" s="1"/>
      <c r="R271" s="2"/>
      <c r="S271" s="2"/>
      <c r="X271" s="3"/>
      <c r="Y271" s="3"/>
      <c r="Z271" s="3"/>
      <c r="AD271" s="2"/>
      <c r="AE271" s="2"/>
      <c r="AF271" s="2"/>
    </row>
    <row r="272" spans="1:32" ht="15.75">
      <c r="A272" s="1"/>
      <c r="R272" s="2"/>
      <c r="S272" s="2"/>
      <c r="X272" s="3"/>
      <c r="Y272" s="3"/>
      <c r="Z272" s="3"/>
      <c r="AD272" s="2"/>
      <c r="AE272" s="2"/>
      <c r="AF272" s="2"/>
    </row>
    <row r="273" spans="1:32" ht="15.75">
      <c r="A273" s="1"/>
      <c r="R273" s="2"/>
      <c r="S273" s="2"/>
      <c r="X273" s="3"/>
      <c r="Y273" s="3"/>
      <c r="Z273" s="3"/>
      <c r="AD273" s="2"/>
      <c r="AE273" s="2"/>
      <c r="AF273" s="2"/>
    </row>
    <row r="274" spans="1:32" ht="15.75">
      <c r="A274" s="1"/>
      <c r="R274" s="2"/>
      <c r="S274" s="2"/>
      <c r="X274" s="3"/>
      <c r="Y274" s="3"/>
      <c r="Z274" s="3"/>
      <c r="AD274" s="2"/>
      <c r="AE274" s="2"/>
      <c r="AF274" s="2"/>
    </row>
    <row r="275" spans="1:32" ht="15.75">
      <c r="A275" s="1"/>
      <c r="R275" s="2"/>
      <c r="S275" s="2"/>
      <c r="X275" s="3"/>
      <c r="Y275" s="3"/>
      <c r="Z275" s="3"/>
      <c r="AD275" s="2"/>
      <c r="AE275" s="2"/>
      <c r="AF275" s="2"/>
    </row>
    <row r="276" spans="1:32" ht="15.75">
      <c r="A276" s="1"/>
      <c r="R276" s="2"/>
      <c r="S276" s="2"/>
      <c r="X276" s="3"/>
      <c r="Y276" s="3"/>
      <c r="Z276" s="3"/>
      <c r="AD276" s="2"/>
      <c r="AE276" s="2"/>
      <c r="AF276" s="2"/>
    </row>
    <row r="277" spans="1:32" ht="15.75">
      <c r="A277" s="1"/>
      <c r="R277" s="2"/>
      <c r="S277" s="2"/>
      <c r="X277" s="3"/>
      <c r="Y277" s="3"/>
      <c r="Z277" s="3"/>
      <c r="AD277" s="2"/>
      <c r="AE277" s="2"/>
      <c r="AF277" s="2"/>
    </row>
    <row r="278" spans="1:32" ht="15.75">
      <c r="A278" s="1"/>
      <c r="R278" s="2"/>
      <c r="S278" s="2"/>
      <c r="X278" s="3"/>
      <c r="Y278" s="3"/>
      <c r="Z278" s="3"/>
      <c r="AD278" s="2"/>
      <c r="AE278" s="2"/>
      <c r="AF278" s="2"/>
    </row>
    <row r="279" spans="1:32" ht="15.75">
      <c r="A279" s="1"/>
      <c r="R279" s="2"/>
      <c r="S279" s="2"/>
      <c r="X279" s="3"/>
      <c r="Y279" s="3"/>
      <c r="Z279" s="3"/>
      <c r="AD279" s="2"/>
      <c r="AE279" s="2"/>
      <c r="AF279" s="2"/>
    </row>
    <row r="280" spans="1:32" ht="15.75">
      <c r="A280" s="1"/>
      <c r="R280" s="2"/>
      <c r="S280" s="2"/>
      <c r="X280" s="3"/>
      <c r="Y280" s="3"/>
      <c r="Z280" s="3"/>
      <c r="AD280" s="2"/>
      <c r="AE280" s="2"/>
      <c r="AF280" s="2"/>
    </row>
    <row r="281" spans="1:32" ht="15.75">
      <c r="A281" s="1"/>
      <c r="R281" s="2"/>
      <c r="S281" s="2"/>
      <c r="X281" s="3"/>
      <c r="Y281" s="3"/>
      <c r="Z281" s="3"/>
      <c r="AD281" s="2"/>
      <c r="AE281" s="2"/>
      <c r="AF281" s="2"/>
    </row>
    <row r="282" spans="1:32" ht="15.75">
      <c r="A282" s="1"/>
      <c r="R282" s="2"/>
      <c r="S282" s="2"/>
      <c r="X282" s="3"/>
      <c r="Y282" s="3"/>
      <c r="Z282" s="3"/>
      <c r="AD282" s="2"/>
      <c r="AE282" s="2"/>
      <c r="AF282" s="2"/>
    </row>
    <row r="283" spans="1:32" ht="15.75">
      <c r="A283" s="1"/>
      <c r="R283" s="2"/>
      <c r="S283" s="2"/>
      <c r="X283" s="3"/>
      <c r="Y283" s="3"/>
      <c r="Z283" s="3"/>
      <c r="AD283" s="2"/>
      <c r="AE283" s="2"/>
      <c r="AF283" s="2"/>
    </row>
    <row r="284" spans="1:32" ht="15.75">
      <c r="A284" s="1"/>
      <c r="R284" s="2"/>
      <c r="S284" s="2"/>
      <c r="X284" s="3"/>
      <c r="Y284" s="3"/>
      <c r="Z284" s="3"/>
      <c r="AD284" s="2"/>
      <c r="AE284" s="2"/>
      <c r="AF284" s="2"/>
    </row>
    <row r="285" spans="1:32" ht="15.75">
      <c r="A285" s="1"/>
      <c r="R285" s="2"/>
      <c r="S285" s="2"/>
      <c r="X285" s="3"/>
      <c r="Y285" s="3"/>
      <c r="Z285" s="3"/>
      <c r="AD285" s="2"/>
      <c r="AE285" s="2"/>
      <c r="AF285" s="2"/>
    </row>
    <row r="286" spans="1:32" ht="15.75">
      <c r="A286" s="1"/>
      <c r="R286" s="2"/>
      <c r="S286" s="2"/>
      <c r="X286" s="3"/>
      <c r="Y286" s="3"/>
      <c r="Z286" s="3"/>
      <c r="AD286" s="2"/>
      <c r="AE286" s="2"/>
      <c r="AF286" s="2"/>
    </row>
    <row r="287" spans="1:32" ht="15.75">
      <c r="A287" s="1"/>
      <c r="R287" s="2"/>
      <c r="S287" s="2"/>
      <c r="X287" s="3"/>
      <c r="Y287" s="3"/>
      <c r="Z287" s="3"/>
      <c r="AD287" s="2"/>
      <c r="AE287" s="2"/>
      <c r="AF287" s="2"/>
    </row>
    <row r="288" spans="1:32" ht="15.75">
      <c r="A288" s="1"/>
      <c r="R288" s="2"/>
      <c r="S288" s="2"/>
      <c r="X288" s="3"/>
      <c r="Y288" s="3"/>
      <c r="Z288" s="3"/>
      <c r="AD288" s="2"/>
      <c r="AE288" s="2"/>
      <c r="AF288" s="2"/>
    </row>
    <row r="289" spans="1:32" ht="15.75">
      <c r="A289" s="1"/>
      <c r="R289" s="2"/>
      <c r="S289" s="2"/>
      <c r="X289" s="3"/>
      <c r="Y289" s="3"/>
      <c r="Z289" s="3"/>
      <c r="AD289" s="2"/>
      <c r="AE289" s="2"/>
      <c r="AF289" s="2"/>
    </row>
    <row r="290" spans="1:32" ht="15.75">
      <c r="A290" s="1"/>
      <c r="R290" s="2"/>
      <c r="S290" s="2"/>
      <c r="X290" s="3"/>
      <c r="Y290" s="3"/>
      <c r="Z290" s="3"/>
      <c r="AD290" s="2"/>
      <c r="AE290" s="2"/>
      <c r="AF290" s="2"/>
    </row>
    <row r="291" spans="1:32" ht="15.75">
      <c r="A291" s="1"/>
      <c r="R291" s="2"/>
      <c r="S291" s="2"/>
      <c r="X291" s="3"/>
      <c r="Y291" s="3"/>
      <c r="Z291" s="3"/>
      <c r="AD291" s="2"/>
      <c r="AE291" s="2"/>
      <c r="AF291" s="2"/>
    </row>
    <row r="292" spans="1:32" ht="15.75">
      <c r="A292" s="1"/>
      <c r="R292" s="2"/>
      <c r="S292" s="2"/>
      <c r="X292" s="3"/>
      <c r="Y292" s="3"/>
      <c r="Z292" s="3"/>
      <c r="AD292" s="2"/>
      <c r="AE292" s="2"/>
      <c r="AF292" s="2"/>
    </row>
    <row r="293" spans="1:32" ht="15.75">
      <c r="A293" s="1"/>
      <c r="R293" s="2"/>
      <c r="S293" s="2"/>
      <c r="X293" s="3"/>
      <c r="Y293" s="3"/>
      <c r="Z293" s="3"/>
      <c r="AD293" s="2"/>
      <c r="AE293" s="2"/>
      <c r="AF293" s="2"/>
    </row>
    <row r="294" spans="1:32" ht="15.75">
      <c r="A294" s="1"/>
      <c r="R294" s="2"/>
      <c r="S294" s="2"/>
      <c r="X294" s="3"/>
      <c r="Y294" s="3"/>
      <c r="Z294" s="3"/>
      <c r="AD294" s="2"/>
      <c r="AE294" s="2"/>
      <c r="AF294" s="2"/>
    </row>
    <row r="295" spans="1:32" ht="15.75">
      <c r="A295" s="1"/>
      <c r="R295" s="2"/>
      <c r="S295" s="2"/>
      <c r="X295" s="3"/>
      <c r="Y295" s="3"/>
      <c r="Z295" s="3"/>
      <c r="AD295" s="2"/>
      <c r="AE295" s="2"/>
      <c r="AF295" s="2"/>
    </row>
    <row r="296" spans="1:32" ht="15.75">
      <c r="A296" s="1"/>
      <c r="R296" s="2"/>
      <c r="S296" s="2"/>
      <c r="X296" s="3"/>
      <c r="Y296" s="3"/>
      <c r="Z296" s="3"/>
      <c r="AD296" s="2"/>
      <c r="AE296" s="2"/>
      <c r="AF296" s="2"/>
    </row>
    <row r="297" spans="1:32" ht="15.75">
      <c r="A297" s="1"/>
      <c r="R297" s="2"/>
      <c r="S297" s="2"/>
      <c r="X297" s="3"/>
      <c r="Y297" s="3"/>
      <c r="Z297" s="3"/>
      <c r="AD297" s="2"/>
      <c r="AE297" s="2"/>
      <c r="AF297" s="2"/>
    </row>
    <row r="298" spans="1:32" ht="15.75">
      <c r="A298" s="1"/>
      <c r="R298" s="2"/>
      <c r="S298" s="2"/>
      <c r="X298" s="3"/>
      <c r="Y298" s="3"/>
      <c r="Z298" s="3"/>
      <c r="AD298" s="2"/>
      <c r="AE298" s="2"/>
      <c r="AF298" s="2"/>
    </row>
    <row r="299" spans="1:32" ht="15.75">
      <c r="A299" s="1"/>
      <c r="R299" s="2"/>
      <c r="S299" s="2"/>
      <c r="X299" s="3"/>
      <c r="Y299" s="3"/>
      <c r="Z299" s="3"/>
      <c r="AD299" s="2"/>
      <c r="AE299" s="2"/>
      <c r="AF299" s="2"/>
    </row>
    <row r="300" spans="1:32" ht="15.75">
      <c r="A300" s="1"/>
      <c r="R300" s="2"/>
      <c r="S300" s="2"/>
      <c r="X300" s="3"/>
      <c r="Y300" s="3"/>
      <c r="Z300" s="3"/>
      <c r="AD300" s="2"/>
      <c r="AE300" s="2"/>
      <c r="AF300" s="2"/>
    </row>
    <row r="301" spans="1:32" ht="15.75">
      <c r="A301" s="1"/>
      <c r="R301" s="2"/>
      <c r="S301" s="2"/>
      <c r="X301" s="3"/>
      <c r="Y301" s="3"/>
      <c r="Z301" s="3"/>
      <c r="AD301" s="2"/>
      <c r="AE301" s="2"/>
      <c r="AF301" s="2"/>
    </row>
    <row r="302" spans="1:32" ht="15.75">
      <c r="A302" s="1"/>
      <c r="R302" s="2"/>
      <c r="S302" s="2"/>
      <c r="X302" s="3"/>
      <c r="Y302" s="3"/>
      <c r="Z302" s="3"/>
      <c r="AD302" s="2"/>
      <c r="AE302" s="2"/>
      <c r="AF302" s="2"/>
    </row>
    <row r="303" spans="1:32" ht="15.75">
      <c r="A303" s="1"/>
      <c r="R303" s="2"/>
      <c r="S303" s="2"/>
      <c r="X303" s="3"/>
      <c r="Y303" s="3"/>
      <c r="Z303" s="3"/>
      <c r="AD303" s="2"/>
      <c r="AE303" s="2"/>
      <c r="AF303" s="2"/>
    </row>
    <row r="304" spans="1:32" ht="15.75">
      <c r="A304" s="1"/>
      <c r="R304" s="2"/>
      <c r="S304" s="2"/>
      <c r="X304" s="3"/>
      <c r="Y304" s="3"/>
      <c r="Z304" s="3"/>
      <c r="AD304" s="2"/>
      <c r="AE304" s="2"/>
      <c r="AF304" s="2"/>
    </row>
    <row r="305" spans="1:32" ht="15.75">
      <c r="A305" s="1"/>
      <c r="R305" s="2"/>
      <c r="S305" s="2"/>
      <c r="X305" s="3"/>
      <c r="Y305" s="3"/>
      <c r="Z305" s="3"/>
      <c r="AD305" s="2"/>
      <c r="AE305" s="2"/>
      <c r="AF305" s="2"/>
    </row>
    <row r="306" spans="1:32" ht="15.75">
      <c r="A306" s="1"/>
      <c r="R306" s="2"/>
      <c r="S306" s="2"/>
      <c r="X306" s="3"/>
      <c r="Y306" s="3"/>
      <c r="Z306" s="3"/>
      <c r="AD306" s="2"/>
      <c r="AE306" s="2"/>
      <c r="AF306" s="2"/>
    </row>
    <row r="307" spans="1:32" ht="15.75">
      <c r="A307" s="1"/>
      <c r="R307" s="2"/>
      <c r="S307" s="2"/>
      <c r="X307" s="3"/>
      <c r="Y307" s="3"/>
      <c r="Z307" s="3"/>
      <c r="AD307" s="2"/>
      <c r="AE307" s="2"/>
      <c r="AF307" s="2"/>
    </row>
    <row r="308" spans="1:32" ht="15.75">
      <c r="A308" s="1"/>
      <c r="R308" s="2"/>
      <c r="S308" s="2"/>
      <c r="X308" s="3"/>
      <c r="Y308" s="3"/>
      <c r="Z308" s="3"/>
      <c r="AD308" s="2"/>
      <c r="AE308" s="2"/>
      <c r="AF308" s="2"/>
    </row>
    <row r="309" spans="1:32" ht="15.75">
      <c r="A309" s="1"/>
      <c r="R309" s="2"/>
      <c r="S309" s="2"/>
      <c r="X309" s="3"/>
      <c r="Y309" s="3"/>
      <c r="Z309" s="3"/>
      <c r="AD309" s="2"/>
      <c r="AE309" s="2"/>
      <c r="AF309" s="2"/>
    </row>
    <row r="310" spans="1:32" ht="15.75">
      <c r="A310" s="1"/>
      <c r="R310" s="2"/>
      <c r="S310" s="2"/>
      <c r="X310" s="3"/>
      <c r="Y310" s="3"/>
      <c r="Z310" s="3"/>
      <c r="AD310" s="2"/>
      <c r="AE310" s="2"/>
      <c r="AF310" s="2"/>
    </row>
    <row r="311" spans="1:32" ht="15.75">
      <c r="A311" s="1"/>
      <c r="R311" s="2"/>
      <c r="S311" s="2"/>
      <c r="X311" s="3"/>
      <c r="Y311" s="3"/>
      <c r="Z311" s="3"/>
      <c r="AD311" s="2"/>
      <c r="AE311" s="2"/>
      <c r="AF311" s="2"/>
    </row>
    <row r="312" spans="1:32" ht="15.75">
      <c r="A312" s="1"/>
      <c r="R312" s="2"/>
      <c r="S312" s="2"/>
      <c r="X312" s="3"/>
      <c r="Y312" s="3"/>
      <c r="Z312" s="3"/>
      <c r="AD312" s="2"/>
      <c r="AE312" s="2"/>
      <c r="AF312" s="2"/>
    </row>
    <row r="313" spans="1:32" ht="15.75">
      <c r="A313" s="1"/>
      <c r="R313" s="2"/>
      <c r="S313" s="2"/>
      <c r="X313" s="3"/>
      <c r="Y313" s="3"/>
      <c r="Z313" s="3"/>
      <c r="AD313" s="2"/>
      <c r="AE313" s="2"/>
      <c r="AF313" s="2"/>
    </row>
    <row r="314" spans="1:32" ht="15.75">
      <c r="A314" s="1"/>
      <c r="R314" s="2"/>
      <c r="S314" s="2"/>
      <c r="X314" s="3"/>
      <c r="Y314" s="3"/>
      <c r="Z314" s="3"/>
      <c r="AD314" s="2"/>
      <c r="AE314" s="2"/>
      <c r="AF314" s="2"/>
    </row>
    <row r="315" spans="1:32" ht="15.75">
      <c r="A315" s="1"/>
      <c r="R315" s="2"/>
      <c r="S315" s="2"/>
      <c r="X315" s="3"/>
      <c r="Y315" s="3"/>
      <c r="Z315" s="3"/>
      <c r="AD315" s="2"/>
      <c r="AE315" s="2"/>
      <c r="AF315" s="2"/>
    </row>
    <row r="316" spans="1:32" ht="15.75">
      <c r="A316" s="1"/>
      <c r="R316" s="2"/>
      <c r="S316" s="2"/>
      <c r="X316" s="3"/>
      <c r="Y316" s="3"/>
      <c r="Z316" s="3"/>
      <c r="AD316" s="2"/>
      <c r="AE316" s="2"/>
      <c r="AF316" s="2"/>
    </row>
    <row r="317" spans="1:32" ht="15.75">
      <c r="A317" s="1"/>
      <c r="R317" s="2"/>
      <c r="S317" s="2"/>
      <c r="X317" s="3"/>
      <c r="Y317" s="3"/>
      <c r="Z317" s="3"/>
      <c r="AD317" s="2"/>
      <c r="AE317" s="2"/>
      <c r="AF317" s="2"/>
    </row>
    <row r="318" spans="1:32" ht="15.75">
      <c r="A318" s="1"/>
      <c r="R318" s="2"/>
      <c r="S318" s="2"/>
      <c r="X318" s="3"/>
      <c r="Y318" s="3"/>
      <c r="Z318" s="3"/>
      <c r="AD318" s="2"/>
      <c r="AE318" s="2"/>
      <c r="AF318" s="2"/>
    </row>
    <row r="319" spans="1:32" ht="15.75">
      <c r="A319" s="1"/>
      <c r="R319" s="2"/>
      <c r="S319" s="2"/>
      <c r="X319" s="3"/>
      <c r="Y319" s="3"/>
      <c r="Z319" s="3"/>
      <c r="AD319" s="2"/>
      <c r="AE319" s="2"/>
      <c r="AF319" s="2"/>
    </row>
    <row r="320" spans="1:32" ht="15.75">
      <c r="A320" s="1"/>
      <c r="R320" s="2"/>
      <c r="S320" s="2"/>
      <c r="X320" s="3"/>
      <c r="Y320" s="3"/>
      <c r="Z320" s="3"/>
      <c r="AD320" s="2"/>
      <c r="AE320" s="2"/>
      <c r="AF320" s="2"/>
    </row>
    <row r="321" spans="1:32" ht="15.75">
      <c r="A321" s="1"/>
      <c r="R321" s="2"/>
      <c r="S321" s="2"/>
      <c r="X321" s="3"/>
      <c r="Y321" s="3"/>
      <c r="Z321" s="3"/>
      <c r="AD321" s="2"/>
      <c r="AE321" s="2"/>
      <c r="AF321" s="2"/>
    </row>
    <row r="322" spans="1:32" ht="15.75">
      <c r="A322" s="1"/>
      <c r="R322" s="2"/>
      <c r="S322" s="2"/>
      <c r="X322" s="3"/>
      <c r="Y322" s="3"/>
      <c r="Z322" s="3"/>
      <c r="AD322" s="2"/>
      <c r="AE322" s="2"/>
      <c r="AF322" s="2"/>
    </row>
    <row r="323" spans="1:32" ht="15.75">
      <c r="A323" s="1"/>
      <c r="R323" s="2"/>
      <c r="S323" s="2"/>
      <c r="X323" s="3"/>
      <c r="Y323" s="3"/>
      <c r="Z323" s="3"/>
      <c r="AD323" s="2"/>
      <c r="AE323" s="2"/>
      <c r="AF323" s="2"/>
    </row>
    <row r="324" spans="1:32" ht="15.75">
      <c r="A324" s="1"/>
      <c r="R324" s="2"/>
      <c r="S324" s="2"/>
      <c r="X324" s="3"/>
      <c r="Y324" s="3"/>
      <c r="Z324" s="3"/>
      <c r="AD324" s="2"/>
      <c r="AE324" s="2"/>
      <c r="AF324" s="2"/>
    </row>
    <row r="325" spans="1:32" ht="15.75">
      <c r="A325" s="1"/>
      <c r="R325" s="2"/>
      <c r="S325" s="2"/>
      <c r="X325" s="3"/>
      <c r="Y325" s="3"/>
      <c r="Z325" s="3"/>
      <c r="AD325" s="2"/>
      <c r="AE325" s="2"/>
      <c r="AF325" s="2"/>
    </row>
    <row r="326" spans="1:32" ht="15.75">
      <c r="A326" s="1"/>
      <c r="R326" s="2"/>
      <c r="S326" s="2"/>
      <c r="X326" s="3"/>
      <c r="Y326" s="3"/>
      <c r="Z326" s="3"/>
      <c r="AD326" s="2"/>
      <c r="AE326" s="2"/>
      <c r="AF326" s="2"/>
    </row>
    <row r="327" spans="1:32" ht="15.75">
      <c r="A327" s="1"/>
      <c r="R327" s="2"/>
      <c r="S327" s="2"/>
      <c r="X327" s="3"/>
      <c r="Y327" s="3"/>
      <c r="Z327" s="3"/>
      <c r="AD327" s="2"/>
      <c r="AE327" s="2"/>
      <c r="AF327" s="2"/>
    </row>
    <row r="328" spans="1:32" ht="15.75">
      <c r="A328" s="1"/>
      <c r="R328" s="2"/>
      <c r="S328" s="2"/>
      <c r="X328" s="3"/>
      <c r="Y328" s="3"/>
      <c r="Z328" s="3"/>
      <c r="AD328" s="2"/>
      <c r="AE328" s="2"/>
      <c r="AF328" s="2"/>
    </row>
    <row r="329" spans="1:32" ht="15.75">
      <c r="A329" s="1"/>
      <c r="R329" s="2"/>
      <c r="S329" s="2"/>
      <c r="X329" s="3"/>
      <c r="Y329" s="3"/>
      <c r="Z329" s="3"/>
      <c r="AD329" s="2"/>
      <c r="AE329" s="2"/>
      <c r="AF329" s="2"/>
    </row>
    <row r="330" spans="1:32" ht="15.75">
      <c r="A330" s="1"/>
      <c r="R330" s="2"/>
      <c r="S330" s="2"/>
      <c r="X330" s="3"/>
      <c r="Y330" s="3"/>
      <c r="Z330" s="3"/>
      <c r="AD330" s="2"/>
      <c r="AE330" s="2"/>
      <c r="AF330" s="2"/>
    </row>
    <row r="331" spans="1:32" ht="15.75">
      <c r="A331" s="1"/>
      <c r="R331" s="2"/>
      <c r="S331" s="2"/>
      <c r="X331" s="3"/>
      <c r="Y331" s="3"/>
      <c r="Z331" s="3"/>
      <c r="AD331" s="2"/>
      <c r="AE331" s="2"/>
      <c r="AF331" s="2"/>
    </row>
    <row r="332" spans="1:32" ht="15.75">
      <c r="A332" s="1"/>
      <c r="R332" s="2"/>
      <c r="S332" s="2"/>
      <c r="X332" s="3"/>
      <c r="Y332" s="3"/>
      <c r="Z332" s="3"/>
      <c r="AD332" s="2"/>
      <c r="AE332" s="2"/>
      <c r="AF332" s="2"/>
    </row>
    <row r="333" spans="1:32" ht="15.75">
      <c r="A333" s="1"/>
      <c r="R333" s="2"/>
      <c r="S333" s="2"/>
      <c r="X333" s="3"/>
      <c r="Y333" s="3"/>
      <c r="Z333" s="3"/>
      <c r="AD333" s="2"/>
      <c r="AE333" s="2"/>
      <c r="AF333" s="2"/>
    </row>
    <row r="334" spans="1:32" ht="15.75">
      <c r="A334" s="1"/>
      <c r="R334" s="2"/>
      <c r="S334" s="2"/>
      <c r="X334" s="3"/>
      <c r="Y334" s="3"/>
      <c r="Z334" s="3"/>
      <c r="AD334" s="2"/>
      <c r="AE334" s="2"/>
      <c r="AF334" s="2"/>
    </row>
    <row r="335" spans="1:32" ht="15.75">
      <c r="A335" s="1"/>
      <c r="R335" s="2"/>
      <c r="S335" s="2"/>
      <c r="X335" s="3"/>
      <c r="Y335" s="3"/>
      <c r="Z335" s="3"/>
      <c r="AD335" s="2"/>
      <c r="AE335" s="2"/>
      <c r="AF335" s="2"/>
    </row>
    <row r="336" spans="1:32" ht="15.75">
      <c r="A336" s="1"/>
      <c r="R336" s="2"/>
      <c r="S336" s="2"/>
      <c r="X336" s="3"/>
      <c r="Y336" s="3"/>
      <c r="Z336" s="3"/>
      <c r="AD336" s="2"/>
      <c r="AE336" s="2"/>
      <c r="AF336" s="2"/>
    </row>
    <row r="337" spans="1:32" ht="15.75">
      <c r="A337" s="1"/>
      <c r="R337" s="2"/>
      <c r="S337" s="2"/>
      <c r="X337" s="3"/>
      <c r="Y337" s="3"/>
      <c r="Z337" s="3"/>
      <c r="AD337" s="2"/>
      <c r="AE337" s="2"/>
      <c r="AF337" s="2"/>
    </row>
    <row r="338" spans="1:32" ht="15.75">
      <c r="A338" s="1"/>
      <c r="R338" s="2"/>
      <c r="S338" s="2"/>
      <c r="X338" s="3"/>
      <c r="Y338" s="3"/>
      <c r="Z338" s="3"/>
      <c r="AD338" s="2"/>
      <c r="AE338" s="2"/>
      <c r="AF338" s="2"/>
    </row>
    <row r="339" spans="1:32" ht="15.75">
      <c r="A339" s="1"/>
      <c r="R339" s="2"/>
      <c r="S339" s="2"/>
      <c r="X339" s="3"/>
      <c r="Y339" s="3"/>
      <c r="Z339" s="3"/>
      <c r="AD339" s="2"/>
      <c r="AE339" s="2"/>
      <c r="AF339" s="2"/>
    </row>
    <row r="340" spans="1:32" ht="15.75">
      <c r="A340" s="1"/>
      <c r="R340" s="2"/>
      <c r="S340" s="2"/>
      <c r="X340" s="3"/>
      <c r="Y340" s="3"/>
      <c r="Z340" s="3"/>
      <c r="AD340" s="2"/>
      <c r="AE340" s="2"/>
      <c r="AF340" s="2"/>
    </row>
    <row r="341" spans="1:32" ht="15.75">
      <c r="A341" s="1"/>
      <c r="R341" s="2"/>
      <c r="S341" s="2"/>
      <c r="X341" s="3"/>
      <c r="Y341" s="3"/>
      <c r="Z341" s="3"/>
      <c r="AD341" s="2"/>
      <c r="AE341" s="2"/>
      <c r="AF341" s="2"/>
    </row>
    <row r="342" spans="1:32" ht="15.75">
      <c r="A342" s="1"/>
      <c r="R342" s="2"/>
      <c r="S342" s="2"/>
      <c r="X342" s="3"/>
      <c r="Y342" s="3"/>
      <c r="Z342" s="3"/>
      <c r="AD342" s="2"/>
      <c r="AE342" s="2"/>
      <c r="AF342" s="2"/>
    </row>
    <row r="343" spans="1:32" ht="15.75">
      <c r="A343" s="1"/>
      <c r="R343" s="2"/>
      <c r="S343" s="2"/>
      <c r="X343" s="3"/>
      <c r="Y343" s="3"/>
      <c r="Z343" s="3"/>
      <c r="AD343" s="2"/>
      <c r="AE343" s="2"/>
      <c r="AF343" s="2"/>
    </row>
    <row r="344" spans="1:32" ht="15.75">
      <c r="A344" s="1"/>
      <c r="R344" s="2"/>
      <c r="S344" s="2"/>
      <c r="X344" s="3"/>
      <c r="Y344" s="3"/>
      <c r="Z344" s="3"/>
      <c r="AD344" s="2"/>
      <c r="AE344" s="2"/>
      <c r="AF344" s="2"/>
    </row>
    <row r="345" spans="1:32" ht="15.75">
      <c r="A345" s="1"/>
      <c r="R345" s="2"/>
      <c r="S345" s="2"/>
      <c r="X345" s="3"/>
      <c r="Y345" s="3"/>
      <c r="Z345" s="3"/>
      <c r="AD345" s="2"/>
      <c r="AE345" s="2"/>
      <c r="AF345" s="2"/>
    </row>
    <row r="346" spans="1:32" ht="15.75">
      <c r="A346" s="1"/>
      <c r="R346" s="2"/>
      <c r="S346" s="2"/>
      <c r="X346" s="3"/>
      <c r="Y346" s="3"/>
      <c r="Z346" s="3"/>
      <c r="AD346" s="2"/>
      <c r="AE346" s="2"/>
      <c r="AF346" s="2"/>
    </row>
    <row r="347" spans="1:32" ht="15.75">
      <c r="A347" s="1"/>
      <c r="R347" s="2"/>
      <c r="S347" s="2"/>
      <c r="X347" s="3"/>
      <c r="Y347" s="3"/>
      <c r="Z347" s="3"/>
      <c r="AD347" s="2"/>
      <c r="AE347" s="2"/>
      <c r="AF347" s="2"/>
    </row>
    <row r="348" spans="1:32" ht="15.75">
      <c r="A348" s="1"/>
      <c r="R348" s="2"/>
      <c r="S348" s="2"/>
      <c r="X348" s="3"/>
      <c r="Y348" s="3"/>
      <c r="Z348" s="3"/>
      <c r="AD348" s="2"/>
      <c r="AE348" s="2"/>
      <c r="AF348" s="2"/>
    </row>
    <row r="349" spans="1:32" ht="15.75">
      <c r="A349" s="1"/>
      <c r="R349" s="2"/>
      <c r="S349" s="2"/>
      <c r="X349" s="3"/>
      <c r="Y349" s="3"/>
      <c r="Z349" s="3"/>
      <c r="AD349" s="2"/>
      <c r="AE349" s="2"/>
      <c r="AF349" s="2"/>
    </row>
    <row r="350" spans="1:32" ht="15.75">
      <c r="A350" s="1"/>
      <c r="R350" s="2"/>
      <c r="S350" s="2"/>
      <c r="X350" s="3"/>
      <c r="Y350" s="3"/>
      <c r="Z350" s="3"/>
      <c r="AD350" s="2"/>
      <c r="AE350" s="2"/>
      <c r="AF350" s="2"/>
    </row>
    <row r="351" spans="1:32" ht="15.75">
      <c r="A351" s="1"/>
      <c r="R351" s="2"/>
      <c r="S351" s="2"/>
      <c r="X351" s="3"/>
      <c r="Y351" s="3"/>
      <c r="Z351" s="3"/>
      <c r="AD351" s="2"/>
      <c r="AE351" s="2"/>
      <c r="AF351" s="2"/>
    </row>
    <row r="352" spans="1:32" ht="15.75">
      <c r="A352" s="1"/>
      <c r="R352" s="2"/>
      <c r="S352" s="2"/>
      <c r="X352" s="3"/>
      <c r="Y352" s="3"/>
      <c r="Z352" s="3"/>
      <c r="AD352" s="2"/>
      <c r="AE352" s="2"/>
      <c r="AF352" s="2"/>
    </row>
    <row r="353" spans="1:32" ht="15.75">
      <c r="A353" s="1"/>
      <c r="R353" s="2"/>
      <c r="S353" s="2"/>
      <c r="X353" s="3"/>
      <c r="Y353" s="3"/>
      <c r="Z353" s="3"/>
      <c r="AD353" s="2"/>
      <c r="AE353" s="2"/>
      <c r="AF353" s="2"/>
    </row>
    <row r="354" spans="1:32" ht="15.75">
      <c r="A354" s="1"/>
      <c r="R354" s="2"/>
      <c r="S354" s="2"/>
      <c r="X354" s="3"/>
      <c r="Y354" s="3"/>
      <c r="Z354" s="3"/>
      <c r="AD354" s="2"/>
      <c r="AE354" s="2"/>
      <c r="AF354" s="2"/>
    </row>
    <row r="355" spans="1:32" ht="15.75">
      <c r="A355" s="1"/>
      <c r="R355" s="2"/>
      <c r="S355" s="2"/>
      <c r="X355" s="3"/>
      <c r="Y355" s="3"/>
      <c r="Z355" s="3"/>
      <c r="AD355" s="2"/>
      <c r="AE355" s="2"/>
      <c r="AF355" s="2"/>
    </row>
    <row r="356" spans="1:32" ht="15.75">
      <c r="A356" s="1"/>
      <c r="R356" s="2"/>
      <c r="S356" s="2"/>
      <c r="X356" s="3"/>
      <c r="Y356" s="3"/>
      <c r="Z356" s="3"/>
      <c r="AD356" s="2"/>
      <c r="AE356" s="2"/>
      <c r="AF356" s="2"/>
    </row>
    <row r="357" spans="1:32" ht="15.75">
      <c r="A357" s="1"/>
      <c r="R357" s="2"/>
      <c r="S357" s="2"/>
      <c r="X357" s="3"/>
      <c r="Y357" s="3"/>
      <c r="Z357" s="3"/>
      <c r="AD357" s="2"/>
      <c r="AE357" s="2"/>
      <c r="AF357" s="2"/>
    </row>
    <row r="358" spans="1:32" ht="15.75">
      <c r="A358" s="1"/>
      <c r="R358" s="2"/>
      <c r="S358" s="2"/>
      <c r="X358" s="3"/>
      <c r="Y358" s="3"/>
      <c r="Z358" s="3"/>
      <c r="AD358" s="2"/>
      <c r="AE358" s="2"/>
      <c r="AF358" s="2"/>
    </row>
    <row r="359" spans="1:32" ht="15.75">
      <c r="A359" s="1"/>
      <c r="R359" s="2"/>
      <c r="S359" s="2"/>
      <c r="X359" s="3"/>
      <c r="Y359" s="3"/>
      <c r="Z359" s="3"/>
      <c r="AD359" s="2"/>
      <c r="AE359" s="2"/>
      <c r="AF359" s="2"/>
    </row>
    <row r="360" spans="1:32" ht="15.75">
      <c r="A360" s="1"/>
      <c r="R360" s="2"/>
      <c r="S360" s="2"/>
      <c r="X360" s="3"/>
      <c r="Y360" s="3"/>
      <c r="Z360" s="3"/>
      <c r="AD360" s="2"/>
      <c r="AE360" s="2"/>
      <c r="AF360" s="2"/>
    </row>
    <row r="361" spans="1:32" ht="15.75">
      <c r="A361" s="1"/>
      <c r="R361" s="2"/>
      <c r="S361" s="2"/>
      <c r="X361" s="3"/>
      <c r="Y361" s="3"/>
      <c r="Z361" s="3"/>
      <c r="AD361" s="2"/>
      <c r="AE361" s="2"/>
      <c r="AF361" s="2"/>
    </row>
    <row r="362" spans="1:32" ht="15.75">
      <c r="A362" s="1"/>
      <c r="R362" s="2"/>
      <c r="S362" s="2"/>
      <c r="X362" s="3"/>
      <c r="Y362" s="3"/>
      <c r="Z362" s="3"/>
      <c r="AD362" s="2"/>
      <c r="AE362" s="2"/>
      <c r="AF362" s="2"/>
    </row>
    <row r="363" spans="1:32" ht="15.75">
      <c r="A363" s="1"/>
      <c r="R363" s="2"/>
      <c r="S363" s="2"/>
      <c r="X363" s="3"/>
      <c r="Y363" s="3"/>
      <c r="Z363" s="3"/>
      <c r="AD363" s="2"/>
      <c r="AE363" s="2"/>
      <c r="AF363" s="2"/>
    </row>
    <row r="364" spans="1:32" ht="15.75">
      <c r="A364" s="1"/>
      <c r="R364" s="2"/>
      <c r="S364" s="2"/>
      <c r="X364" s="3"/>
      <c r="Y364" s="3"/>
      <c r="Z364" s="3"/>
      <c r="AD364" s="2"/>
      <c r="AE364" s="2"/>
      <c r="AF364" s="2"/>
    </row>
    <row r="365" spans="1:32" ht="15.75">
      <c r="A365" s="1"/>
      <c r="R365" s="2"/>
      <c r="S365" s="2"/>
      <c r="X365" s="3"/>
      <c r="Y365" s="3"/>
      <c r="Z365" s="3"/>
      <c r="AD365" s="2"/>
      <c r="AE365" s="2"/>
      <c r="AF365" s="2"/>
    </row>
    <row r="366" spans="1:32" ht="15.75">
      <c r="A366" s="1"/>
      <c r="R366" s="2"/>
      <c r="S366" s="2"/>
      <c r="X366" s="3"/>
      <c r="Y366" s="3"/>
      <c r="Z366" s="3"/>
      <c r="AD366" s="2"/>
      <c r="AE366" s="2"/>
      <c r="AF366" s="2"/>
    </row>
    <row r="367" spans="1:32" ht="15.75">
      <c r="A367" s="1"/>
      <c r="R367" s="2"/>
      <c r="S367" s="2"/>
      <c r="X367" s="3"/>
      <c r="Y367" s="3"/>
      <c r="Z367" s="3"/>
      <c r="AD367" s="2"/>
      <c r="AE367" s="2"/>
      <c r="AF367" s="2"/>
    </row>
    <row r="368" spans="1:32" ht="15.75">
      <c r="A368" s="1"/>
      <c r="R368" s="2"/>
      <c r="S368" s="2"/>
      <c r="X368" s="3"/>
      <c r="Y368" s="3"/>
      <c r="Z368" s="3"/>
      <c r="AD368" s="2"/>
      <c r="AE368" s="2"/>
      <c r="AF368" s="2"/>
    </row>
    <row r="369" spans="1:32" ht="15.75">
      <c r="A369" s="1"/>
      <c r="R369" s="2"/>
      <c r="S369" s="2"/>
      <c r="X369" s="3"/>
      <c r="Y369" s="3"/>
      <c r="Z369" s="3"/>
      <c r="AD369" s="2"/>
      <c r="AE369" s="2"/>
      <c r="AF369" s="2"/>
    </row>
    <row r="370" spans="1:32" ht="15.75">
      <c r="A370" s="1"/>
      <c r="R370" s="2"/>
      <c r="S370" s="2"/>
      <c r="X370" s="3"/>
      <c r="Y370" s="3"/>
      <c r="Z370" s="3"/>
      <c r="AD370" s="2"/>
      <c r="AE370" s="2"/>
      <c r="AF370" s="2"/>
    </row>
    <row r="371" spans="1:32" ht="15.75">
      <c r="A371" s="1"/>
      <c r="R371" s="2"/>
      <c r="S371" s="2"/>
      <c r="X371" s="3"/>
      <c r="Y371" s="3"/>
      <c r="Z371" s="3"/>
      <c r="AD371" s="2"/>
      <c r="AE371" s="2"/>
      <c r="AF371" s="2"/>
    </row>
    <row r="372" spans="1:32" ht="15.75">
      <c r="A372" s="1"/>
      <c r="R372" s="2"/>
      <c r="S372" s="2"/>
      <c r="X372" s="3"/>
      <c r="Y372" s="3"/>
      <c r="Z372" s="3"/>
      <c r="AD372" s="2"/>
      <c r="AE372" s="2"/>
      <c r="AF372" s="2"/>
    </row>
    <row r="373" spans="1:32" ht="15.75">
      <c r="A373" s="1"/>
      <c r="R373" s="2"/>
      <c r="S373" s="2"/>
      <c r="X373" s="3"/>
      <c r="Y373" s="3"/>
      <c r="Z373" s="3"/>
      <c r="AD373" s="2"/>
      <c r="AE373" s="2"/>
      <c r="AF373" s="2"/>
    </row>
    <row r="374" spans="1:32" ht="15.75">
      <c r="A374" s="1"/>
      <c r="R374" s="2"/>
      <c r="S374" s="2"/>
      <c r="X374" s="3"/>
      <c r="Y374" s="3"/>
      <c r="Z374" s="3"/>
      <c r="AD374" s="2"/>
      <c r="AE374" s="2"/>
      <c r="AF374" s="2"/>
    </row>
    <row r="375" spans="1:32" ht="15.75">
      <c r="A375" s="1"/>
      <c r="R375" s="2"/>
      <c r="S375" s="2"/>
      <c r="X375" s="3"/>
      <c r="Y375" s="3"/>
      <c r="Z375" s="3"/>
      <c r="AD375" s="2"/>
      <c r="AE375" s="2"/>
      <c r="AF375" s="2"/>
    </row>
    <row r="376" spans="1:32" ht="15.75">
      <c r="A376" s="1"/>
      <c r="R376" s="2"/>
      <c r="S376" s="2"/>
      <c r="X376" s="3"/>
      <c r="Y376" s="3"/>
      <c r="Z376" s="3"/>
      <c r="AD376" s="2"/>
      <c r="AE376" s="2"/>
      <c r="AF376" s="2"/>
    </row>
    <row r="377" spans="1:32" ht="15.75">
      <c r="A377" s="1"/>
      <c r="R377" s="2"/>
      <c r="S377" s="2"/>
      <c r="X377" s="3"/>
      <c r="Y377" s="3"/>
      <c r="Z377" s="3"/>
      <c r="AD377" s="2"/>
      <c r="AE377" s="2"/>
      <c r="AF377" s="2"/>
    </row>
    <row r="378" spans="1:32" ht="15.75">
      <c r="A378" s="1"/>
      <c r="R378" s="2"/>
      <c r="S378" s="2"/>
      <c r="X378" s="3"/>
      <c r="Y378" s="3"/>
      <c r="Z378" s="3"/>
      <c r="AD378" s="2"/>
      <c r="AE378" s="2"/>
      <c r="AF378" s="2"/>
    </row>
    <row r="379" spans="1:32" ht="15.75">
      <c r="A379" s="1"/>
      <c r="R379" s="2"/>
      <c r="S379" s="2"/>
      <c r="X379" s="3"/>
      <c r="Y379" s="3"/>
      <c r="Z379" s="3"/>
      <c r="AD379" s="2"/>
      <c r="AE379" s="2"/>
      <c r="AF379" s="2"/>
    </row>
    <row r="380" spans="1:32" ht="15.75">
      <c r="A380" s="1"/>
      <c r="R380" s="2"/>
      <c r="S380" s="2"/>
      <c r="X380" s="3"/>
      <c r="Y380" s="3"/>
      <c r="Z380" s="3"/>
      <c r="AD380" s="2"/>
      <c r="AE380" s="2"/>
      <c r="AF380" s="2"/>
    </row>
    <row r="381" spans="1:32" ht="15.75">
      <c r="A381" s="1"/>
      <c r="R381" s="2"/>
      <c r="S381" s="2"/>
      <c r="X381" s="3"/>
      <c r="Y381" s="3"/>
      <c r="Z381" s="3"/>
      <c r="AD381" s="2"/>
      <c r="AE381" s="2"/>
      <c r="AF381" s="2"/>
    </row>
    <row r="382" spans="1:32" ht="15.75">
      <c r="A382" s="1"/>
      <c r="R382" s="2"/>
      <c r="S382" s="2"/>
      <c r="X382" s="3"/>
      <c r="Y382" s="3"/>
      <c r="Z382" s="3"/>
      <c r="AD382" s="2"/>
      <c r="AE382" s="2"/>
      <c r="AF382" s="2"/>
    </row>
    <row r="383" spans="1:32" ht="15.75">
      <c r="A383" s="1"/>
      <c r="R383" s="2"/>
      <c r="S383" s="2"/>
      <c r="X383" s="3"/>
      <c r="Y383" s="3"/>
      <c r="Z383" s="3"/>
      <c r="AD383" s="2"/>
      <c r="AE383" s="2"/>
      <c r="AF383" s="2"/>
    </row>
    <row r="384" spans="1:32" ht="15.75">
      <c r="A384" s="1"/>
      <c r="R384" s="2"/>
      <c r="S384" s="2"/>
      <c r="X384" s="3"/>
      <c r="Y384" s="3"/>
      <c r="Z384" s="3"/>
      <c r="AD384" s="2"/>
      <c r="AE384" s="2"/>
      <c r="AF384" s="2"/>
    </row>
    <row r="385" spans="1:32" ht="15.75">
      <c r="A385" s="1"/>
      <c r="R385" s="2"/>
      <c r="S385" s="2"/>
      <c r="X385" s="3"/>
      <c r="Y385" s="3"/>
      <c r="Z385" s="3"/>
      <c r="AD385" s="2"/>
      <c r="AE385" s="2"/>
      <c r="AF385" s="2"/>
    </row>
    <row r="386" spans="1:32" ht="15.75">
      <c r="A386" s="1"/>
      <c r="R386" s="2"/>
      <c r="S386" s="2"/>
      <c r="X386" s="3"/>
      <c r="Y386" s="3"/>
      <c r="Z386" s="3"/>
      <c r="AD386" s="2"/>
      <c r="AE386" s="2"/>
      <c r="AF386" s="2"/>
    </row>
    <row r="387" spans="1:32" ht="15.75">
      <c r="A387" s="1"/>
      <c r="R387" s="2"/>
      <c r="S387" s="2"/>
      <c r="X387" s="3"/>
      <c r="Y387" s="3"/>
      <c r="Z387" s="3"/>
      <c r="AD387" s="2"/>
      <c r="AE387" s="2"/>
      <c r="AF387" s="2"/>
    </row>
    <row r="388" spans="1:32" ht="15.75">
      <c r="A388" s="1"/>
      <c r="R388" s="2"/>
      <c r="S388" s="2"/>
      <c r="X388" s="3"/>
      <c r="Y388" s="3"/>
      <c r="Z388" s="3"/>
      <c r="AD388" s="2"/>
      <c r="AE388" s="2"/>
      <c r="AF388" s="2"/>
    </row>
    <row r="389" spans="1:32" ht="15.75">
      <c r="A389" s="1"/>
      <c r="R389" s="2"/>
      <c r="S389" s="2"/>
      <c r="X389" s="3"/>
      <c r="Y389" s="3"/>
      <c r="Z389" s="3"/>
      <c r="AD389" s="2"/>
      <c r="AE389" s="2"/>
      <c r="AF389" s="2"/>
    </row>
    <row r="390" spans="1:32" ht="15.75">
      <c r="A390" s="1"/>
      <c r="R390" s="2"/>
      <c r="S390" s="2"/>
      <c r="X390" s="3"/>
      <c r="Y390" s="3"/>
      <c r="Z390" s="3"/>
      <c r="AD390" s="2"/>
      <c r="AE390" s="2"/>
      <c r="AF390" s="2"/>
    </row>
    <row r="391" spans="1:32" ht="15.75">
      <c r="A391" s="1"/>
      <c r="R391" s="2"/>
      <c r="S391" s="2"/>
      <c r="X391" s="3"/>
      <c r="Y391" s="3"/>
      <c r="Z391" s="3"/>
      <c r="AD391" s="2"/>
      <c r="AE391" s="2"/>
      <c r="AF391" s="2"/>
    </row>
    <row r="392" spans="1:32" ht="15.75">
      <c r="A392" s="1"/>
      <c r="R392" s="2"/>
      <c r="S392" s="2"/>
      <c r="X392" s="3"/>
      <c r="Y392" s="3"/>
      <c r="Z392" s="3"/>
      <c r="AD392" s="2"/>
      <c r="AE392" s="2"/>
      <c r="AF392" s="2"/>
    </row>
    <row r="393" spans="1:32" ht="15.75">
      <c r="A393" s="1"/>
      <c r="R393" s="2"/>
      <c r="S393" s="2"/>
      <c r="X393" s="3"/>
      <c r="Y393" s="3"/>
      <c r="Z393" s="3"/>
      <c r="AD393" s="2"/>
      <c r="AE393" s="2"/>
      <c r="AF393" s="2"/>
    </row>
    <row r="394" spans="1:32" ht="15.75">
      <c r="A394" s="1"/>
      <c r="R394" s="2"/>
      <c r="S394" s="2"/>
      <c r="X394" s="3"/>
      <c r="Y394" s="3"/>
      <c r="Z394" s="3"/>
      <c r="AD394" s="2"/>
      <c r="AE394" s="2"/>
      <c r="AF394" s="2"/>
    </row>
    <row r="395" spans="1:32" ht="15.75">
      <c r="A395" s="1"/>
      <c r="R395" s="2"/>
      <c r="S395" s="2"/>
      <c r="X395" s="3"/>
      <c r="Y395" s="3"/>
      <c r="Z395" s="3"/>
      <c r="AD395" s="2"/>
      <c r="AE395" s="2"/>
      <c r="AF395" s="2"/>
    </row>
    <row r="396" spans="1:32" ht="15.75">
      <c r="A396" s="1"/>
      <c r="R396" s="2"/>
      <c r="S396" s="2"/>
      <c r="X396" s="3"/>
      <c r="Y396" s="3"/>
      <c r="Z396" s="3"/>
      <c r="AD396" s="2"/>
      <c r="AE396" s="2"/>
      <c r="AF396" s="2"/>
    </row>
    <row r="397" spans="1:32" ht="15.75">
      <c r="A397" s="1"/>
      <c r="R397" s="2"/>
      <c r="S397" s="2"/>
      <c r="X397" s="3"/>
      <c r="Y397" s="3"/>
      <c r="Z397" s="3"/>
      <c r="AD397" s="2"/>
      <c r="AE397" s="2"/>
      <c r="AF397" s="2"/>
    </row>
    <row r="398" spans="1:32" ht="15.75">
      <c r="A398" s="1"/>
      <c r="R398" s="2"/>
      <c r="S398" s="2"/>
      <c r="X398" s="3"/>
      <c r="Y398" s="3"/>
      <c r="Z398" s="3"/>
      <c r="AD398" s="2"/>
      <c r="AE398" s="2"/>
      <c r="AF398" s="2"/>
    </row>
    <row r="399" spans="1:32" ht="15.75">
      <c r="A399" s="1"/>
      <c r="R399" s="2"/>
      <c r="S399" s="2"/>
      <c r="X399" s="3"/>
      <c r="Y399" s="3"/>
      <c r="Z399" s="3"/>
      <c r="AD399" s="2"/>
      <c r="AE399" s="2"/>
      <c r="AF399" s="2"/>
    </row>
    <row r="400" spans="1:32" ht="15.75">
      <c r="A400" s="1"/>
      <c r="R400" s="2"/>
      <c r="S400" s="2"/>
      <c r="X400" s="3"/>
      <c r="Y400" s="3"/>
      <c r="Z400" s="3"/>
      <c r="AD400" s="2"/>
      <c r="AE400" s="2"/>
      <c r="AF400" s="2"/>
    </row>
    <row r="401" spans="1:32" ht="15.75">
      <c r="A401" s="1"/>
      <c r="R401" s="2"/>
      <c r="S401" s="2"/>
      <c r="X401" s="3"/>
      <c r="Y401" s="3"/>
      <c r="Z401" s="3"/>
      <c r="AD401" s="2"/>
      <c r="AE401" s="2"/>
      <c r="AF401" s="2"/>
    </row>
    <row r="402" spans="1:32" ht="15.75">
      <c r="A402" s="1"/>
      <c r="R402" s="2"/>
      <c r="S402" s="2"/>
      <c r="X402" s="3"/>
      <c r="Y402" s="3"/>
      <c r="Z402" s="3"/>
      <c r="AD402" s="2"/>
      <c r="AE402" s="2"/>
      <c r="AF402" s="2"/>
    </row>
    <row r="403" spans="1:32" ht="15.75">
      <c r="A403" s="1"/>
      <c r="R403" s="2"/>
      <c r="S403" s="2"/>
      <c r="X403" s="3"/>
      <c r="Y403" s="3"/>
      <c r="Z403" s="3"/>
      <c r="AD403" s="2"/>
      <c r="AE403" s="2"/>
      <c r="AF403" s="2"/>
    </row>
    <row r="404" spans="1:32" ht="15.75">
      <c r="A404" s="1"/>
      <c r="R404" s="2"/>
      <c r="S404" s="2"/>
      <c r="X404" s="3"/>
      <c r="Y404" s="3"/>
      <c r="Z404" s="3"/>
      <c r="AD404" s="2"/>
      <c r="AE404" s="2"/>
      <c r="AF404" s="2"/>
    </row>
    <row r="405" spans="1:32" ht="15.75">
      <c r="A405" s="1"/>
      <c r="R405" s="2"/>
      <c r="S405" s="2"/>
      <c r="X405" s="3"/>
      <c r="Y405" s="3"/>
      <c r="Z405" s="3"/>
      <c r="AD405" s="2"/>
      <c r="AE405" s="2"/>
      <c r="AF405" s="2"/>
    </row>
    <row r="406" spans="1:32" ht="15.75">
      <c r="A406" s="1"/>
      <c r="R406" s="2"/>
      <c r="S406" s="2"/>
      <c r="X406" s="3"/>
      <c r="Y406" s="3"/>
      <c r="Z406" s="3"/>
      <c r="AD406" s="2"/>
      <c r="AE406" s="2"/>
      <c r="AF406" s="2"/>
    </row>
    <row r="407" spans="1:32" ht="15.75">
      <c r="A407" s="1"/>
      <c r="R407" s="2"/>
      <c r="S407" s="2"/>
      <c r="X407" s="3"/>
      <c r="Y407" s="3"/>
      <c r="Z407" s="3"/>
      <c r="AD407" s="2"/>
      <c r="AE407" s="2"/>
      <c r="AF407" s="2"/>
    </row>
    <row r="408" spans="1:32" ht="15.75">
      <c r="A408" s="1"/>
      <c r="R408" s="2"/>
      <c r="S408" s="2"/>
      <c r="X408" s="3"/>
      <c r="Y408" s="3"/>
      <c r="Z408" s="3"/>
      <c r="AD408" s="2"/>
      <c r="AE408" s="2"/>
      <c r="AF408" s="2"/>
    </row>
    <row r="409" spans="1:32" ht="15.75">
      <c r="A409" s="1"/>
      <c r="R409" s="2"/>
      <c r="S409" s="2"/>
      <c r="X409" s="3"/>
      <c r="Y409" s="3"/>
      <c r="Z409" s="3"/>
      <c r="AD409" s="2"/>
      <c r="AE409" s="2"/>
      <c r="AF409" s="2"/>
    </row>
    <row r="410" spans="1:32" ht="15.75">
      <c r="A410" s="1"/>
      <c r="R410" s="2"/>
      <c r="S410" s="2"/>
      <c r="X410" s="3"/>
      <c r="Y410" s="3"/>
      <c r="Z410" s="3"/>
      <c r="AD410" s="2"/>
      <c r="AE410" s="2"/>
      <c r="AF410" s="2"/>
    </row>
    <row r="411" spans="1:32" ht="15.75">
      <c r="A411" s="1"/>
      <c r="R411" s="2"/>
      <c r="S411" s="2"/>
      <c r="X411" s="3"/>
      <c r="Y411" s="3"/>
      <c r="Z411" s="3"/>
      <c r="AD411" s="2"/>
      <c r="AE411" s="2"/>
      <c r="AF411" s="2"/>
    </row>
    <row r="412" spans="1:32" ht="15.75">
      <c r="A412" s="1"/>
      <c r="R412" s="2"/>
      <c r="S412" s="2"/>
      <c r="X412" s="3"/>
      <c r="Y412" s="3"/>
      <c r="Z412" s="3"/>
      <c r="AD412" s="2"/>
      <c r="AE412" s="2"/>
      <c r="AF412" s="2"/>
    </row>
    <row r="413" spans="1:32" ht="15.75">
      <c r="A413" s="1"/>
      <c r="R413" s="2"/>
      <c r="S413" s="2"/>
      <c r="X413" s="3"/>
      <c r="Y413" s="3"/>
      <c r="Z413" s="3"/>
      <c r="AD413" s="2"/>
      <c r="AE413" s="2"/>
      <c r="AF413" s="2"/>
    </row>
    <row r="414" spans="1:32" ht="15.75">
      <c r="A414" s="1"/>
      <c r="R414" s="2"/>
      <c r="S414" s="2"/>
      <c r="X414" s="3"/>
      <c r="Y414" s="3"/>
      <c r="Z414" s="3"/>
      <c r="AD414" s="2"/>
      <c r="AE414" s="2"/>
      <c r="AF414" s="2"/>
    </row>
    <row r="415" spans="1:32" ht="15.75">
      <c r="A415" s="1"/>
      <c r="R415" s="2"/>
      <c r="S415" s="2"/>
      <c r="X415" s="3"/>
      <c r="Y415" s="3"/>
      <c r="Z415" s="3"/>
      <c r="AD415" s="2"/>
      <c r="AE415" s="2"/>
      <c r="AF415" s="2"/>
    </row>
    <row r="416" spans="1:32" ht="15.75">
      <c r="A416" s="1"/>
      <c r="R416" s="2"/>
      <c r="S416" s="2"/>
      <c r="X416" s="3"/>
      <c r="Y416" s="3"/>
      <c r="Z416" s="3"/>
      <c r="AD416" s="2"/>
      <c r="AE416" s="2"/>
      <c r="AF416" s="2"/>
    </row>
    <row r="417" spans="1:32" ht="15.75">
      <c r="A417" s="1"/>
      <c r="R417" s="2"/>
      <c r="S417" s="2"/>
      <c r="X417" s="3"/>
      <c r="Y417" s="3"/>
      <c r="Z417" s="3"/>
      <c r="AD417" s="2"/>
      <c r="AE417" s="2"/>
      <c r="AF417" s="2"/>
    </row>
    <row r="418" spans="1:32" ht="15.75">
      <c r="A418" s="1"/>
      <c r="R418" s="2"/>
      <c r="S418" s="2"/>
      <c r="X418" s="3"/>
      <c r="Y418" s="3"/>
      <c r="Z418" s="3"/>
      <c r="AD418" s="2"/>
      <c r="AE418" s="2"/>
      <c r="AF418" s="2"/>
    </row>
    <row r="419" spans="1:32" ht="15.75">
      <c r="A419" s="1"/>
      <c r="R419" s="2"/>
      <c r="S419" s="2"/>
      <c r="X419" s="3"/>
      <c r="Y419" s="3"/>
      <c r="Z419" s="3"/>
      <c r="AD419" s="2"/>
      <c r="AE419" s="2"/>
      <c r="AF419" s="2"/>
    </row>
    <row r="420" spans="1:32" ht="15.75">
      <c r="A420" s="1"/>
      <c r="R420" s="2"/>
      <c r="S420" s="2"/>
      <c r="X420" s="3"/>
      <c r="Y420" s="3"/>
      <c r="Z420" s="3"/>
      <c r="AD420" s="2"/>
      <c r="AE420" s="2"/>
      <c r="AF420" s="2"/>
    </row>
    <row r="421" spans="1:32" ht="15.75">
      <c r="A421" s="1"/>
      <c r="R421" s="2"/>
      <c r="S421" s="2"/>
      <c r="X421" s="3"/>
      <c r="Y421" s="3"/>
      <c r="Z421" s="3"/>
      <c r="AD421" s="2"/>
      <c r="AE421" s="2"/>
      <c r="AF421" s="2"/>
    </row>
    <row r="422" spans="1:32" ht="15.75">
      <c r="A422" s="1"/>
      <c r="R422" s="2"/>
      <c r="S422" s="2"/>
      <c r="X422" s="3"/>
      <c r="Y422" s="3"/>
      <c r="Z422" s="3"/>
      <c r="AD422" s="2"/>
      <c r="AE422" s="2"/>
      <c r="AF422" s="2"/>
    </row>
    <row r="423" spans="1:32" ht="15.75">
      <c r="A423" s="1"/>
      <c r="R423" s="2"/>
      <c r="S423" s="2"/>
      <c r="X423" s="3"/>
      <c r="Y423" s="3"/>
      <c r="Z423" s="3"/>
      <c r="AD423" s="2"/>
      <c r="AE423" s="2"/>
      <c r="AF423" s="2"/>
    </row>
    <row r="424" spans="1:32" ht="15.75">
      <c r="A424" s="1"/>
      <c r="R424" s="2"/>
      <c r="S424" s="2"/>
      <c r="X424" s="3"/>
      <c r="Y424" s="3"/>
      <c r="Z424" s="3"/>
      <c r="AD424" s="2"/>
      <c r="AE424" s="2"/>
      <c r="AF424" s="2"/>
    </row>
    <row r="425" spans="1:32" ht="15.75">
      <c r="A425" s="1"/>
      <c r="R425" s="2"/>
      <c r="S425" s="2"/>
      <c r="X425" s="3"/>
      <c r="Y425" s="3"/>
      <c r="Z425" s="3"/>
      <c r="AD425" s="2"/>
      <c r="AE425" s="2"/>
      <c r="AF425" s="2"/>
    </row>
    <row r="426" spans="1:32" ht="15.75">
      <c r="A426" s="1"/>
      <c r="R426" s="2"/>
      <c r="S426" s="2"/>
      <c r="X426" s="3"/>
      <c r="Y426" s="3"/>
      <c r="Z426" s="3"/>
      <c r="AD426" s="2"/>
      <c r="AE426" s="2"/>
      <c r="AF426" s="2"/>
    </row>
    <row r="427" spans="1:32" ht="15.75">
      <c r="A427" s="1"/>
      <c r="R427" s="2"/>
      <c r="S427" s="2"/>
      <c r="X427" s="3"/>
      <c r="Y427" s="3"/>
      <c r="Z427" s="3"/>
      <c r="AD427" s="2"/>
      <c r="AE427" s="2"/>
      <c r="AF427" s="2"/>
    </row>
    <row r="428" spans="1:32" ht="15.75">
      <c r="A428" s="1"/>
      <c r="R428" s="2"/>
      <c r="S428" s="2"/>
      <c r="X428" s="3"/>
      <c r="Y428" s="3"/>
      <c r="Z428" s="3"/>
      <c r="AD428" s="2"/>
      <c r="AE428" s="2"/>
      <c r="AF428" s="2"/>
    </row>
    <row r="429" spans="1:32" ht="15.75">
      <c r="A429" s="1"/>
      <c r="R429" s="2"/>
      <c r="S429" s="2"/>
      <c r="X429" s="3"/>
      <c r="Y429" s="3"/>
      <c r="Z429" s="3"/>
      <c r="AD429" s="2"/>
      <c r="AE429" s="2"/>
      <c r="AF429" s="2"/>
    </row>
    <row r="430" spans="1:32" ht="15.75">
      <c r="A430" s="1"/>
      <c r="R430" s="2"/>
      <c r="S430" s="2"/>
      <c r="X430" s="3"/>
      <c r="Y430" s="3"/>
      <c r="Z430" s="3"/>
      <c r="AD430" s="2"/>
      <c r="AE430" s="2"/>
      <c r="AF430" s="2"/>
    </row>
    <row r="431" spans="1:32" ht="15.75">
      <c r="A431" s="1"/>
      <c r="R431" s="2"/>
      <c r="S431" s="2"/>
      <c r="X431" s="3"/>
      <c r="Y431" s="3"/>
      <c r="Z431" s="3"/>
      <c r="AD431" s="2"/>
      <c r="AE431" s="2"/>
      <c r="AF431" s="2"/>
    </row>
    <row r="432" spans="1:32" ht="15.75">
      <c r="A432" s="1"/>
      <c r="R432" s="2"/>
      <c r="S432" s="2"/>
      <c r="X432" s="3"/>
      <c r="Y432" s="3"/>
      <c r="Z432" s="3"/>
      <c r="AD432" s="2"/>
      <c r="AE432" s="2"/>
      <c r="AF432" s="2"/>
    </row>
    <row r="433" spans="1:32" ht="15.75">
      <c r="A433" s="1"/>
      <c r="R433" s="2"/>
      <c r="S433" s="2"/>
      <c r="X433" s="3"/>
      <c r="Y433" s="3"/>
      <c r="Z433" s="3"/>
      <c r="AD433" s="2"/>
      <c r="AE433" s="2"/>
      <c r="AF433" s="2"/>
    </row>
    <row r="434" spans="1:32" ht="15.75">
      <c r="A434" s="1"/>
      <c r="R434" s="2"/>
      <c r="S434" s="2"/>
      <c r="X434" s="3"/>
      <c r="Y434" s="3"/>
      <c r="Z434" s="3"/>
      <c r="AD434" s="2"/>
      <c r="AE434" s="2"/>
      <c r="AF434" s="2"/>
    </row>
    <row r="435" spans="1:32" ht="15.75">
      <c r="A435" s="1"/>
      <c r="R435" s="2"/>
      <c r="S435" s="2"/>
      <c r="X435" s="3"/>
      <c r="Y435" s="3"/>
      <c r="Z435" s="3"/>
      <c r="AD435" s="2"/>
      <c r="AE435" s="2"/>
      <c r="AF435" s="2"/>
    </row>
    <row r="436" spans="1:32" ht="15.75">
      <c r="A436" s="1"/>
      <c r="R436" s="2"/>
      <c r="S436" s="2"/>
      <c r="X436" s="3"/>
      <c r="Y436" s="3"/>
      <c r="Z436" s="3"/>
      <c r="AD436" s="2"/>
      <c r="AE436" s="2"/>
      <c r="AF436" s="2"/>
    </row>
    <row r="437" spans="1:32" ht="15.75">
      <c r="A437" s="1"/>
      <c r="R437" s="2"/>
      <c r="S437" s="2"/>
      <c r="X437" s="3"/>
      <c r="Y437" s="3"/>
      <c r="Z437" s="3"/>
      <c r="AD437" s="2"/>
      <c r="AE437" s="2"/>
      <c r="AF437" s="2"/>
    </row>
    <row r="438" spans="1:32" ht="15.75">
      <c r="A438" s="1"/>
      <c r="R438" s="2"/>
      <c r="S438" s="2"/>
      <c r="X438" s="3"/>
      <c r="Y438" s="3"/>
      <c r="Z438" s="3"/>
      <c r="AD438" s="2"/>
      <c r="AE438" s="2"/>
      <c r="AF438" s="2"/>
    </row>
    <row r="439" spans="1:32" ht="15.75">
      <c r="A439" s="1"/>
      <c r="R439" s="2"/>
      <c r="S439" s="2"/>
      <c r="X439" s="3"/>
      <c r="Y439" s="3"/>
      <c r="Z439" s="3"/>
      <c r="AD439" s="2"/>
      <c r="AE439" s="2"/>
      <c r="AF439" s="2"/>
    </row>
    <row r="440" spans="1:32" ht="15.75">
      <c r="A440" s="1"/>
      <c r="R440" s="2"/>
      <c r="S440" s="2"/>
      <c r="X440" s="3"/>
      <c r="Y440" s="3"/>
      <c r="Z440" s="3"/>
      <c r="AD440" s="2"/>
      <c r="AE440" s="2"/>
      <c r="AF440" s="2"/>
    </row>
    <row r="441" spans="1:32" ht="15.75">
      <c r="A441" s="1"/>
      <c r="R441" s="2"/>
      <c r="S441" s="2"/>
      <c r="X441" s="3"/>
      <c r="Y441" s="3"/>
      <c r="Z441" s="3"/>
      <c r="AD441" s="2"/>
      <c r="AE441" s="2"/>
      <c r="AF441" s="2"/>
    </row>
    <row r="442" spans="1:32" ht="15.75">
      <c r="A442" s="1"/>
      <c r="R442" s="2"/>
      <c r="S442" s="2"/>
      <c r="X442" s="3"/>
      <c r="Y442" s="3"/>
      <c r="Z442" s="3"/>
      <c r="AD442" s="2"/>
      <c r="AE442" s="2"/>
      <c r="AF442" s="2"/>
    </row>
    <row r="443" spans="1:32" ht="15.75">
      <c r="A443" s="1"/>
      <c r="R443" s="2"/>
      <c r="S443" s="2"/>
      <c r="X443" s="3"/>
      <c r="Y443" s="3"/>
      <c r="Z443" s="3"/>
      <c r="AD443" s="2"/>
      <c r="AE443" s="2"/>
      <c r="AF443" s="2"/>
    </row>
    <row r="444" spans="1:32" ht="15.75">
      <c r="A444" s="1"/>
      <c r="R444" s="2"/>
      <c r="S444" s="2"/>
      <c r="X444" s="3"/>
      <c r="Y444" s="3"/>
      <c r="Z444" s="3"/>
      <c r="AD444" s="2"/>
      <c r="AE444" s="2"/>
      <c r="AF444" s="2"/>
    </row>
    <row r="445" spans="1:32" ht="15.75">
      <c r="A445" s="1"/>
      <c r="R445" s="2"/>
      <c r="S445" s="2"/>
      <c r="X445" s="3"/>
      <c r="Y445" s="3"/>
      <c r="Z445" s="3"/>
      <c r="AD445" s="2"/>
      <c r="AE445" s="2"/>
      <c r="AF445" s="2"/>
    </row>
    <row r="446" spans="1:32" ht="15.75">
      <c r="A446" s="1"/>
      <c r="R446" s="2"/>
      <c r="S446" s="2"/>
      <c r="X446" s="3"/>
      <c r="Y446" s="3"/>
      <c r="Z446" s="3"/>
      <c r="AD446" s="2"/>
      <c r="AE446" s="2"/>
      <c r="AF446" s="2"/>
    </row>
    <row r="447" spans="1:32" ht="15.75">
      <c r="A447" s="1"/>
      <c r="R447" s="2"/>
      <c r="S447" s="2"/>
      <c r="X447" s="3"/>
      <c r="Y447" s="3"/>
      <c r="Z447" s="3"/>
      <c r="AD447" s="2"/>
      <c r="AE447" s="2"/>
      <c r="AF447" s="2"/>
    </row>
    <row r="448" spans="1:32" ht="15.75">
      <c r="A448" s="1"/>
      <c r="R448" s="2"/>
      <c r="S448" s="2"/>
      <c r="X448" s="3"/>
      <c r="Y448" s="3"/>
      <c r="Z448" s="3"/>
      <c r="AD448" s="2"/>
      <c r="AE448" s="2"/>
      <c r="AF448" s="2"/>
    </row>
    <row r="449" spans="1:32" ht="15.75">
      <c r="A449" s="1"/>
      <c r="R449" s="2"/>
      <c r="S449" s="2"/>
      <c r="X449" s="3"/>
      <c r="Y449" s="3"/>
      <c r="Z449" s="3"/>
      <c r="AD449" s="2"/>
      <c r="AE449" s="2"/>
      <c r="AF449" s="2"/>
    </row>
    <row r="450" spans="1:32" ht="15.75">
      <c r="A450" s="1"/>
      <c r="R450" s="2"/>
      <c r="S450" s="2"/>
      <c r="X450" s="3"/>
      <c r="Y450" s="3"/>
      <c r="Z450" s="3"/>
      <c r="AD450" s="2"/>
      <c r="AE450" s="2"/>
      <c r="AF450" s="2"/>
    </row>
    <row r="451" spans="1:32" ht="15.75">
      <c r="A451" s="1"/>
      <c r="R451" s="2"/>
      <c r="S451" s="2"/>
      <c r="X451" s="3"/>
      <c r="Y451" s="3"/>
      <c r="Z451" s="3"/>
      <c r="AD451" s="2"/>
      <c r="AE451" s="2"/>
      <c r="AF451" s="2"/>
    </row>
    <row r="452" spans="1:32" ht="15.75">
      <c r="A452" s="1"/>
      <c r="R452" s="2"/>
      <c r="S452" s="2"/>
      <c r="X452" s="3"/>
      <c r="Y452" s="3"/>
      <c r="Z452" s="3"/>
      <c r="AD452" s="2"/>
      <c r="AE452" s="2"/>
      <c r="AF452" s="2"/>
    </row>
    <row r="453" spans="1:32" ht="15.75">
      <c r="A453" s="1"/>
      <c r="R453" s="2"/>
      <c r="S453" s="2"/>
      <c r="X453" s="3"/>
      <c r="Y453" s="3"/>
      <c r="Z453" s="3"/>
      <c r="AD453" s="2"/>
      <c r="AE453" s="2"/>
      <c r="AF453" s="2"/>
    </row>
    <row r="454" spans="1:32" ht="15.75">
      <c r="A454" s="1"/>
      <c r="R454" s="2"/>
      <c r="S454" s="2"/>
      <c r="X454" s="3"/>
      <c r="Y454" s="3"/>
      <c r="Z454" s="3"/>
      <c r="AD454" s="2"/>
      <c r="AE454" s="2"/>
      <c r="AF454" s="2"/>
    </row>
    <row r="455" spans="1:32" ht="15.75">
      <c r="A455" s="1"/>
      <c r="R455" s="2"/>
      <c r="S455" s="2"/>
      <c r="X455" s="3"/>
      <c r="Y455" s="3"/>
      <c r="Z455" s="3"/>
      <c r="AD455" s="2"/>
      <c r="AE455" s="2"/>
      <c r="AF455" s="2"/>
    </row>
    <row r="456" spans="1:32" ht="15.75">
      <c r="A456" s="1"/>
      <c r="R456" s="2"/>
      <c r="S456" s="2"/>
      <c r="X456" s="3"/>
      <c r="Y456" s="3"/>
      <c r="Z456" s="3"/>
      <c r="AD456" s="2"/>
      <c r="AE456" s="2"/>
      <c r="AF456" s="2"/>
    </row>
    <row r="457" spans="1:32" ht="15.75">
      <c r="A457" s="1"/>
      <c r="R457" s="2"/>
      <c r="S457" s="2"/>
      <c r="X457" s="3"/>
      <c r="Y457" s="3"/>
      <c r="Z457" s="3"/>
      <c r="AD457" s="2"/>
      <c r="AE457" s="2"/>
      <c r="AF457" s="2"/>
    </row>
    <row r="458" spans="1:32" ht="15.75">
      <c r="A458" s="1"/>
      <c r="R458" s="2"/>
      <c r="S458" s="2"/>
      <c r="X458" s="3"/>
      <c r="Y458" s="3"/>
      <c r="Z458" s="3"/>
      <c r="AD458" s="2"/>
      <c r="AE458" s="2"/>
      <c r="AF458" s="2"/>
    </row>
    <row r="459" spans="1:32" ht="15.75">
      <c r="A459" s="1"/>
      <c r="R459" s="2"/>
      <c r="S459" s="2"/>
      <c r="X459" s="3"/>
      <c r="Y459" s="3"/>
      <c r="Z459" s="3"/>
      <c r="AD459" s="2"/>
      <c r="AE459" s="2"/>
      <c r="AF459" s="2"/>
    </row>
    <row r="460" spans="1:32" ht="15.75">
      <c r="A460" s="1"/>
      <c r="R460" s="2"/>
      <c r="S460" s="2"/>
      <c r="X460" s="3"/>
      <c r="Y460" s="3"/>
      <c r="Z460" s="3"/>
      <c r="AD460" s="2"/>
      <c r="AE460" s="2"/>
      <c r="AF460" s="2"/>
    </row>
    <row r="461" spans="1:32" ht="15.75">
      <c r="A461" s="1"/>
      <c r="R461" s="2"/>
      <c r="S461" s="2"/>
      <c r="X461" s="3"/>
      <c r="Y461" s="3"/>
      <c r="Z461" s="3"/>
      <c r="AD461" s="2"/>
      <c r="AE461" s="2"/>
      <c r="AF461" s="2"/>
    </row>
    <row r="462" spans="1:32" ht="15.75">
      <c r="A462" s="1"/>
      <c r="R462" s="2"/>
      <c r="S462" s="2"/>
      <c r="X462" s="3"/>
      <c r="Y462" s="3"/>
      <c r="Z462" s="3"/>
      <c r="AD462" s="2"/>
      <c r="AE462" s="2"/>
      <c r="AF462" s="2"/>
    </row>
    <row r="463" spans="1:32" ht="15.75">
      <c r="A463" s="1"/>
      <c r="R463" s="2"/>
      <c r="S463" s="2"/>
      <c r="X463" s="3"/>
      <c r="Y463" s="3"/>
      <c r="Z463" s="3"/>
      <c r="AD463" s="2"/>
      <c r="AE463" s="2"/>
      <c r="AF463" s="2"/>
    </row>
    <row r="464" spans="1:32" ht="15.75">
      <c r="A464" s="1"/>
      <c r="R464" s="2"/>
      <c r="S464" s="2"/>
      <c r="X464" s="3"/>
      <c r="Y464" s="3"/>
      <c r="Z464" s="3"/>
      <c r="AD464" s="2"/>
      <c r="AE464" s="2"/>
      <c r="AF464" s="2"/>
    </row>
    <row r="465" spans="1:32" ht="15.75">
      <c r="A465" s="1"/>
      <c r="R465" s="2"/>
      <c r="S465" s="2"/>
      <c r="X465" s="3"/>
      <c r="Y465" s="3"/>
      <c r="Z465" s="3"/>
      <c r="AD465" s="2"/>
      <c r="AE465" s="2"/>
      <c r="AF465" s="2"/>
    </row>
    <row r="466" spans="1:32" ht="15.75">
      <c r="A466" s="1"/>
      <c r="R466" s="2"/>
      <c r="S466" s="2"/>
      <c r="X466" s="3"/>
      <c r="Y466" s="3"/>
      <c r="Z466" s="3"/>
      <c r="AD466" s="2"/>
      <c r="AE466" s="2"/>
      <c r="AF466" s="2"/>
    </row>
    <row r="467" spans="1:32" ht="15.75">
      <c r="A467" s="1"/>
      <c r="R467" s="2"/>
      <c r="S467" s="2"/>
      <c r="X467" s="3"/>
      <c r="Y467" s="3"/>
      <c r="Z467" s="3"/>
      <c r="AD467" s="2"/>
      <c r="AE467" s="2"/>
      <c r="AF467" s="2"/>
    </row>
    <row r="468" spans="1:32" ht="15.75">
      <c r="A468" s="1"/>
      <c r="R468" s="2"/>
      <c r="S468" s="2"/>
      <c r="X468" s="3"/>
      <c r="Y468" s="3"/>
      <c r="Z468" s="3"/>
      <c r="AD468" s="2"/>
      <c r="AE468" s="2"/>
      <c r="AF468" s="2"/>
    </row>
    <row r="469" spans="1:32" ht="15.75">
      <c r="A469" s="1"/>
      <c r="R469" s="2"/>
      <c r="S469" s="2"/>
      <c r="X469" s="3"/>
      <c r="Y469" s="3"/>
      <c r="Z469" s="3"/>
      <c r="AD469" s="2"/>
      <c r="AE469" s="2"/>
      <c r="AF469" s="2"/>
    </row>
    <row r="470" spans="1:32" ht="15.75">
      <c r="A470" s="1"/>
      <c r="R470" s="2"/>
      <c r="S470" s="2"/>
      <c r="X470" s="3"/>
      <c r="Y470" s="3"/>
      <c r="Z470" s="3"/>
      <c r="AD470" s="2"/>
      <c r="AE470" s="2"/>
      <c r="AF470" s="2"/>
    </row>
    <row r="471" spans="1:32" ht="15.75">
      <c r="A471" s="1"/>
      <c r="R471" s="2"/>
      <c r="S471" s="2"/>
      <c r="X471" s="3"/>
      <c r="Y471" s="3"/>
      <c r="Z471" s="3"/>
      <c r="AD471" s="2"/>
      <c r="AE471" s="2"/>
      <c r="AF471" s="2"/>
    </row>
    <row r="472" spans="1:32" ht="15.75">
      <c r="A472" s="1"/>
      <c r="R472" s="2"/>
      <c r="S472" s="2"/>
      <c r="X472" s="3"/>
      <c r="Y472" s="3"/>
      <c r="Z472" s="3"/>
      <c r="AD472" s="2"/>
      <c r="AE472" s="2"/>
      <c r="AF472" s="2"/>
    </row>
    <row r="473" spans="1:32" ht="15.75">
      <c r="A473" s="1"/>
      <c r="R473" s="2"/>
      <c r="S473" s="2"/>
      <c r="X473" s="3"/>
      <c r="Y473" s="3"/>
      <c r="Z473" s="3"/>
      <c r="AD473" s="2"/>
      <c r="AE473" s="2"/>
      <c r="AF473" s="2"/>
    </row>
    <row r="474" spans="1:32" ht="15.75">
      <c r="A474" s="1"/>
      <c r="R474" s="2"/>
      <c r="S474" s="2"/>
      <c r="X474" s="3"/>
      <c r="Y474" s="3"/>
      <c r="Z474" s="3"/>
      <c r="AD474" s="2"/>
      <c r="AE474" s="2"/>
      <c r="AF474" s="2"/>
    </row>
    <row r="475" spans="1:32" ht="15.75">
      <c r="A475" s="1"/>
      <c r="R475" s="2"/>
      <c r="S475" s="2"/>
      <c r="X475" s="3"/>
      <c r="Y475" s="3"/>
      <c r="Z475" s="3"/>
      <c r="AD475" s="2"/>
      <c r="AE475" s="2"/>
      <c r="AF475" s="2"/>
    </row>
    <row r="476" spans="1:32" ht="15.75">
      <c r="A476" s="1"/>
      <c r="R476" s="2"/>
      <c r="S476" s="2"/>
      <c r="X476" s="3"/>
      <c r="Y476" s="3"/>
      <c r="Z476" s="3"/>
      <c r="AD476" s="2"/>
      <c r="AE476" s="2"/>
      <c r="AF476" s="2"/>
    </row>
    <row r="477" spans="1:32" ht="15.75">
      <c r="A477" s="1"/>
      <c r="R477" s="2"/>
      <c r="S477" s="2"/>
      <c r="X477" s="3"/>
      <c r="Y477" s="3"/>
      <c r="Z477" s="3"/>
      <c r="AD477" s="2"/>
      <c r="AE477" s="2"/>
      <c r="AF477" s="2"/>
    </row>
    <row r="478" spans="1:32" ht="15.75">
      <c r="A478" s="1"/>
      <c r="R478" s="2"/>
      <c r="S478" s="2"/>
      <c r="X478" s="3"/>
      <c r="Y478" s="3"/>
      <c r="Z478" s="3"/>
      <c r="AD478" s="2"/>
      <c r="AE478" s="2"/>
      <c r="AF478" s="2"/>
    </row>
    <row r="479" spans="1:32" ht="15.75">
      <c r="A479" s="1"/>
      <c r="R479" s="2"/>
      <c r="S479" s="2"/>
      <c r="X479" s="3"/>
      <c r="Y479" s="3"/>
      <c r="Z479" s="3"/>
      <c r="AD479" s="2"/>
      <c r="AE479" s="2"/>
      <c r="AF479" s="2"/>
    </row>
    <row r="480" spans="1:32" ht="15.75">
      <c r="A480" s="1"/>
      <c r="R480" s="2"/>
      <c r="S480" s="2"/>
      <c r="X480" s="3"/>
      <c r="Y480" s="3"/>
      <c r="Z480" s="3"/>
      <c r="AD480" s="2"/>
      <c r="AE480" s="2"/>
      <c r="AF480" s="2"/>
    </row>
    <row r="481" spans="1:32" ht="15.75">
      <c r="A481" s="1"/>
      <c r="R481" s="2"/>
      <c r="S481" s="2"/>
      <c r="X481" s="3"/>
      <c r="Y481" s="3"/>
      <c r="Z481" s="3"/>
      <c r="AD481" s="2"/>
      <c r="AE481" s="2"/>
      <c r="AF481" s="2"/>
    </row>
    <row r="482" spans="1:32" ht="15.75">
      <c r="A482" s="1"/>
      <c r="R482" s="2"/>
      <c r="S482" s="2"/>
      <c r="X482" s="3"/>
      <c r="Y482" s="3"/>
      <c r="Z482" s="3"/>
      <c r="AD482" s="2"/>
      <c r="AE482" s="2"/>
      <c r="AF482" s="2"/>
    </row>
    <row r="483" spans="1:32" ht="15.75">
      <c r="A483" s="1"/>
      <c r="R483" s="2"/>
      <c r="S483" s="2"/>
      <c r="X483" s="3"/>
      <c r="Y483" s="3"/>
      <c r="Z483" s="3"/>
      <c r="AD483" s="2"/>
      <c r="AE483" s="2"/>
      <c r="AF483" s="2"/>
    </row>
    <row r="484" spans="1:32" ht="15.75">
      <c r="A484" s="1"/>
      <c r="R484" s="2"/>
      <c r="S484" s="2"/>
      <c r="X484" s="3"/>
      <c r="Y484" s="3"/>
      <c r="Z484" s="3"/>
      <c r="AD484" s="2"/>
      <c r="AE484" s="2"/>
      <c r="AF484" s="2"/>
    </row>
    <row r="485" spans="1:32" ht="15.75">
      <c r="A485" s="1"/>
      <c r="R485" s="2"/>
      <c r="S485" s="2"/>
      <c r="X485" s="3"/>
      <c r="Y485" s="3"/>
      <c r="Z485" s="3"/>
      <c r="AD485" s="2"/>
      <c r="AE485" s="2"/>
      <c r="AF485" s="2"/>
    </row>
    <row r="486" spans="1:32" ht="15.75">
      <c r="A486" s="1"/>
      <c r="R486" s="2"/>
      <c r="S486" s="2"/>
      <c r="X486" s="3"/>
      <c r="Y486" s="3"/>
      <c r="Z486" s="3"/>
      <c r="AD486" s="2"/>
      <c r="AE486" s="2"/>
      <c r="AF486" s="2"/>
    </row>
    <row r="487" spans="1:32" ht="15.75">
      <c r="A487" s="1"/>
      <c r="R487" s="2"/>
      <c r="S487" s="2"/>
      <c r="X487" s="3"/>
      <c r="Y487" s="3"/>
      <c r="Z487" s="3"/>
      <c r="AD487" s="2"/>
      <c r="AE487" s="2"/>
      <c r="AF487" s="2"/>
    </row>
    <row r="488" spans="1:32" ht="15.75">
      <c r="A488" s="1"/>
      <c r="R488" s="2"/>
      <c r="S488" s="2"/>
      <c r="X488" s="3"/>
      <c r="Y488" s="3"/>
      <c r="Z488" s="3"/>
      <c r="AD488" s="2"/>
      <c r="AE488" s="2"/>
      <c r="AF488" s="2"/>
    </row>
    <row r="489" spans="1:32" ht="15.75">
      <c r="A489" s="1"/>
      <c r="R489" s="2"/>
      <c r="S489" s="2"/>
      <c r="X489" s="3"/>
      <c r="Y489" s="3"/>
      <c r="Z489" s="3"/>
      <c r="AD489" s="2"/>
      <c r="AE489" s="2"/>
      <c r="AF489" s="2"/>
    </row>
    <row r="490" spans="1:32" ht="15.75">
      <c r="A490" s="1"/>
      <c r="R490" s="2"/>
      <c r="S490" s="2"/>
      <c r="X490" s="3"/>
      <c r="Y490" s="3"/>
      <c r="Z490" s="3"/>
      <c r="AD490" s="2"/>
      <c r="AE490" s="2"/>
      <c r="AF490" s="2"/>
    </row>
    <row r="491" spans="1:32" ht="15.75">
      <c r="A491" s="1"/>
      <c r="R491" s="2"/>
      <c r="S491" s="2"/>
      <c r="X491" s="3"/>
      <c r="Y491" s="3"/>
      <c r="Z491" s="3"/>
      <c r="AD491" s="2"/>
      <c r="AE491" s="2"/>
      <c r="AF491" s="2"/>
    </row>
    <row r="492" spans="1:32" ht="15.75">
      <c r="A492" s="1"/>
      <c r="R492" s="2"/>
      <c r="S492" s="2"/>
      <c r="X492" s="3"/>
      <c r="Y492" s="3"/>
      <c r="Z492" s="3"/>
      <c r="AD492" s="2"/>
      <c r="AE492" s="2"/>
      <c r="AF492" s="2"/>
    </row>
    <row r="493" spans="1:32" ht="15.75">
      <c r="A493" s="1"/>
      <c r="R493" s="2"/>
      <c r="S493" s="2"/>
      <c r="X493" s="3"/>
      <c r="Y493" s="3"/>
      <c r="Z493" s="3"/>
      <c r="AD493" s="2"/>
      <c r="AE493" s="2"/>
      <c r="AF493" s="2"/>
    </row>
    <row r="494" spans="1:32" ht="15.75">
      <c r="A494" s="1"/>
      <c r="R494" s="2"/>
      <c r="S494" s="2"/>
      <c r="X494" s="3"/>
      <c r="Y494" s="3"/>
      <c r="Z494" s="3"/>
      <c r="AD494" s="2"/>
      <c r="AE494" s="2"/>
      <c r="AF494" s="2"/>
    </row>
    <row r="495" spans="1:32" ht="15.75">
      <c r="A495" s="1"/>
      <c r="R495" s="2"/>
      <c r="S495" s="2"/>
      <c r="X495" s="3"/>
      <c r="Y495" s="3"/>
      <c r="Z495" s="3"/>
      <c r="AD495" s="2"/>
      <c r="AE495" s="2"/>
      <c r="AF495" s="2"/>
    </row>
    <row r="496" spans="1:32" ht="15.75">
      <c r="A496" s="1"/>
      <c r="R496" s="2"/>
      <c r="S496" s="2"/>
      <c r="X496" s="3"/>
      <c r="Y496" s="3"/>
      <c r="Z496" s="3"/>
      <c r="AD496" s="2"/>
      <c r="AE496" s="2"/>
      <c r="AF496" s="2"/>
    </row>
    <row r="497" spans="1:32" ht="15.75">
      <c r="A497" s="1"/>
      <c r="R497" s="2"/>
      <c r="S497" s="2"/>
      <c r="X497" s="3"/>
      <c r="Y497" s="3"/>
      <c r="Z497" s="3"/>
      <c r="AD497" s="2"/>
      <c r="AE497" s="2"/>
      <c r="AF497" s="2"/>
    </row>
    <row r="498" spans="1:32" ht="15.75">
      <c r="A498" s="1"/>
      <c r="R498" s="2"/>
      <c r="S498" s="2"/>
      <c r="X498" s="3"/>
      <c r="Y498" s="3"/>
      <c r="Z498" s="3"/>
      <c r="AD498" s="2"/>
      <c r="AE498" s="2"/>
      <c r="AF498" s="2"/>
    </row>
    <row r="499" spans="1:32" ht="15.75">
      <c r="A499" s="1"/>
      <c r="R499" s="2"/>
      <c r="S499" s="2"/>
      <c r="X499" s="3"/>
      <c r="Y499" s="3"/>
      <c r="Z499" s="3"/>
      <c r="AD499" s="2"/>
      <c r="AE499" s="2"/>
      <c r="AF499" s="2"/>
    </row>
    <row r="500" spans="1:32" ht="15.75">
      <c r="A500" s="1"/>
      <c r="R500" s="2"/>
      <c r="S500" s="2"/>
      <c r="X500" s="3"/>
      <c r="Y500" s="3"/>
      <c r="Z500" s="3"/>
      <c r="AD500" s="2"/>
      <c r="AE500" s="2"/>
      <c r="AF500" s="2"/>
    </row>
    <row r="501" spans="1:32" ht="15.75">
      <c r="A501" s="1"/>
      <c r="R501" s="2"/>
      <c r="S501" s="2"/>
      <c r="X501" s="3"/>
      <c r="Y501" s="3"/>
      <c r="Z501" s="3"/>
      <c r="AD501" s="2"/>
      <c r="AE501" s="2"/>
      <c r="AF501" s="2"/>
    </row>
    <row r="502" spans="1:32" ht="15.75">
      <c r="A502" s="1"/>
      <c r="R502" s="2"/>
      <c r="S502" s="2"/>
      <c r="X502" s="3"/>
      <c r="Y502" s="3"/>
      <c r="Z502" s="3"/>
      <c r="AD502" s="2"/>
      <c r="AE502" s="2"/>
      <c r="AF502" s="2"/>
    </row>
    <row r="503" spans="1:32" ht="15.75">
      <c r="A503" s="1"/>
      <c r="R503" s="2"/>
      <c r="S503" s="2"/>
      <c r="X503" s="3"/>
      <c r="Y503" s="3"/>
      <c r="Z503" s="3"/>
      <c r="AD503" s="2"/>
      <c r="AE503" s="2"/>
      <c r="AF503" s="2"/>
    </row>
    <row r="504" spans="1:32" ht="15.75">
      <c r="A504" s="1"/>
      <c r="R504" s="2"/>
      <c r="S504" s="2"/>
      <c r="X504" s="3"/>
      <c r="Y504" s="3"/>
      <c r="Z504" s="3"/>
      <c r="AD504" s="2"/>
      <c r="AE504" s="2"/>
      <c r="AF504" s="2"/>
    </row>
    <row r="505" spans="1:32" ht="15.75">
      <c r="A505" s="1"/>
      <c r="R505" s="2"/>
      <c r="S505" s="2"/>
      <c r="X505" s="3"/>
      <c r="Y505" s="3"/>
      <c r="Z505" s="3"/>
      <c r="AD505" s="2"/>
      <c r="AE505" s="2"/>
      <c r="AF505" s="2"/>
    </row>
    <row r="506" spans="1:32" ht="15.75">
      <c r="A506" s="1"/>
      <c r="R506" s="2"/>
      <c r="S506" s="2"/>
      <c r="X506" s="3"/>
      <c r="Y506" s="3"/>
      <c r="Z506" s="3"/>
      <c r="AD506" s="2"/>
      <c r="AE506" s="2"/>
      <c r="AF506" s="2"/>
    </row>
    <row r="507" spans="1:32" ht="15.75">
      <c r="A507" s="1"/>
      <c r="R507" s="2"/>
      <c r="S507" s="2"/>
      <c r="X507" s="3"/>
      <c r="Y507" s="3"/>
      <c r="Z507" s="3"/>
      <c r="AD507" s="2"/>
      <c r="AE507" s="2"/>
      <c r="AF507" s="2"/>
    </row>
    <row r="508" spans="1:32" ht="15.75">
      <c r="A508" s="1"/>
      <c r="R508" s="2"/>
      <c r="S508" s="2"/>
      <c r="X508" s="3"/>
      <c r="Y508" s="3"/>
      <c r="Z508" s="3"/>
      <c r="AD508" s="2"/>
      <c r="AE508" s="2"/>
      <c r="AF508" s="2"/>
    </row>
    <row r="509" spans="1:32" ht="15.75">
      <c r="A509" s="1"/>
      <c r="R509" s="2"/>
      <c r="S509" s="2"/>
      <c r="X509" s="3"/>
      <c r="Y509" s="3"/>
      <c r="Z509" s="3"/>
      <c r="AD509" s="2"/>
      <c r="AE509" s="2"/>
      <c r="AF509" s="2"/>
    </row>
    <row r="510" spans="1:32" ht="15.75">
      <c r="A510" s="1"/>
      <c r="R510" s="2"/>
      <c r="S510" s="2"/>
      <c r="X510" s="3"/>
      <c r="Y510" s="3"/>
      <c r="Z510" s="3"/>
      <c r="AD510" s="2"/>
      <c r="AE510" s="2"/>
      <c r="AF510" s="2"/>
    </row>
    <row r="511" spans="1:32" ht="15.75">
      <c r="A511" s="1"/>
      <c r="R511" s="2"/>
      <c r="S511" s="2"/>
      <c r="X511" s="3"/>
      <c r="Y511" s="3"/>
      <c r="Z511" s="3"/>
      <c r="AD511" s="2"/>
      <c r="AE511" s="2"/>
      <c r="AF511" s="2"/>
    </row>
    <row r="512" spans="1:32" ht="15.75">
      <c r="A512" s="1"/>
      <c r="R512" s="2"/>
      <c r="S512" s="2"/>
      <c r="X512" s="3"/>
      <c r="Y512" s="3"/>
      <c r="Z512" s="3"/>
      <c r="AD512" s="2"/>
      <c r="AE512" s="2"/>
      <c r="AF512" s="2"/>
    </row>
    <row r="513" spans="1:32" ht="15.75">
      <c r="A513" s="1"/>
      <c r="R513" s="2"/>
      <c r="S513" s="2"/>
      <c r="X513" s="3"/>
      <c r="Y513" s="3"/>
      <c r="Z513" s="3"/>
      <c r="AD513" s="2"/>
      <c r="AE513" s="2"/>
      <c r="AF513" s="2"/>
    </row>
    <row r="514" spans="1:32" ht="15.75">
      <c r="A514" s="1"/>
      <c r="R514" s="2"/>
      <c r="S514" s="2"/>
      <c r="X514" s="3"/>
      <c r="Y514" s="3"/>
      <c r="Z514" s="3"/>
      <c r="AD514" s="2"/>
      <c r="AE514" s="2"/>
      <c r="AF514" s="2"/>
    </row>
    <row r="515" spans="1:32" ht="15.75">
      <c r="A515" s="1"/>
      <c r="R515" s="2"/>
      <c r="S515" s="2"/>
      <c r="X515" s="3"/>
      <c r="Y515" s="3"/>
      <c r="Z515" s="3"/>
      <c r="AD515" s="2"/>
      <c r="AE515" s="2"/>
      <c r="AF515" s="2"/>
    </row>
    <row r="516" spans="1:32" ht="15.75">
      <c r="A516" s="1"/>
      <c r="R516" s="2"/>
      <c r="S516" s="2"/>
      <c r="X516" s="3"/>
      <c r="Y516" s="3"/>
      <c r="Z516" s="3"/>
      <c r="AD516" s="2"/>
      <c r="AE516" s="2"/>
      <c r="AF516" s="2"/>
    </row>
    <row r="517" spans="1:32" ht="15.75">
      <c r="A517" s="1"/>
      <c r="R517" s="2"/>
      <c r="S517" s="2"/>
      <c r="X517" s="3"/>
      <c r="Y517" s="3"/>
      <c r="Z517" s="3"/>
      <c r="AD517" s="2"/>
      <c r="AE517" s="2"/>
      <c r="AF517" s="2"/>
    </row>
    <row r="518" spans="1:32" ht="15.75">
      <c r="A518" s="1"/>
      <c r="R518" s="2"/>
      <c r="S518" s="2"/>
      <c r="X518" s="3"/>
      <c r="Y518" s="3"/>
      <c r="Z518" s="3"/>
      <c r="AD518" s="2"/>
      <c r="AE518" s="2"/>
      <c r="AF518" s="2"/>
    </row>
    <row r="519" spans="1:32" ht="15.75">
      <c r="A519" s="1"/>
      <c r="R519" s="2"/>
      <c r="S519" s="2"/>
      <c r="X519" s="3"/>
      <c r="Y519" s="3"/>
      <c r="Z519" s="3"/>
      <c r="AD519" s="2"/>
      <c r="AE519" s="2"/>
      <c r="AF519" s="2"/>
    </row>
    <row r="520" spans="1:32" ht="15.75">
      <c r="A520" s="1"/>
      <c r="R520" s="2"/>
      <c r="S520" s="2"/>
      <c r="X520" s="3"/>
      <c r="Y520" s="3"/>
      <c r="Z520" s="3"/>
      <c r="AD520" s="2"/>
      <c r="AE520" s="2"/>
      <c r="AF520" s="2"/>
    </row>
    <row r="521" spans="1:32" ht="15.75">
      <c r="A521" s="1"/>
      <c r="R521" s="2"/>
      <c r="S521" s="2"/>
      <c r="X521" s="3"/>
      <c r="Y521" s="3"/>
      <c r="Z521" s="3"/>
      <c r="AD521" s="2"/>
      <c r="AE521" s="2"/>
      <c r="AF521" s="2"/>
    </row>
    <row r="522" spans="1:32" ht="15.75">
      <c r="A522" s="1"/>
      <c r="R522" s="2"/>
      <c r="S522" s="2"/>
      <c r="X522" s="3"/>
      <c r="Y522" s="3"/>
      <c r="Z522" s="3"/>
      <c r="AD522" s="2"/>
      <c r="AE522" s="2"/>
      <c r="AF522" s="2"/>
    </row>
    <row r="523" spans="1:32" ht="15.75">
      <c r="A523" s="1"/>
      <c r="R523" s="2"/>
      <c r="S523" s="2"/>
      <c r="X523" s="3"/>
      <c r="Y523" s="3"/>
      <c r="Z523" s="3"/>
      <c r="AD523" s="2"/>
      <c r="AE523" s="2"/>
      <c r="AF523" s="2"/>
    </row>
    <row r="524" spans="1:32" ht="15.75">
      <c r="A524" s="1"/>
      <c r="R524" s="2"/>
      <c r="S524" s="2"/>
      <c r="X524" s="3"/>
      <c r="Y524" s="3"/>
      <c r="Z524" s="3"/>
      <c r="AD524" s="2"/>
      <c r="AE524" s="2"/>
      <c r="AF524" s="2"/>
    </row>
    <row r="525" spans="1:32" ht="15.75">
      <c r="A525" s="1"/>
      <c r="R525" s="2"/>
      <c r="S525" s="2"/>
      <c r="X525" s="3"/>
      <c r="Y525" s="3"/>
      <c r="Z525" s="3"/>
      <c r="AD525" s="2"/>
      <c r="AE525" s="2"/>
      <c r="AF525" s="2"/>
    </row>
    <row r="526" spans="1:32" ht="15.75">
      <c r="A526" s="1"/>
      <c r="R526" s="2"/>
      <c r="S526" s="2"/>
      <c r="X526" s="3"/>
      <c r="Y526" s="3"/>
      <c r="Z526" s="3"/>
      <c r="AD526" s="2"/>
      <c r="AE526" s="2"/>
      <c r="AF526" s="2"/>
    </row>
    <row r="527" spans="1:32" ht="15.75">
      <c r="A527" s="1"/>
      <c r="R527" s="2"/>
      <c r="S527" s="2"/>
      <c r="X527" s="3"/>
      <c r="Y527" s="3"/>
      <c r="Z527" s="3"/>
      <c r="AD527" s="2"/>
      <c r="AE527" s="2"/>
      <c r="AF527" s="2"/>
    </row>
    <row r="528" spans="1:32" ht="15.75">
      <c r="A528" s="1"/>
      <c r="R528" s="2"/>
      <c r="S528" s="2"/>
      <c r="X528" s="3"/>
      <c r="Y528" s="3"/>
      <c r="Z528" s="3"/>
      <c r="AD528" s="2"/>
      <c r="AE528" s="2"/>
      <c r="AF528" s="2"/>
    </row>
    <row r="529" spans="1:32" ht="15.75">
      <c r="A529" s="1"/>
      <c r="R529" s="2"/>
      <c r="S529" s="2"/>
      <c r="X529" s="3"/>
      <c r="Y529" s="3"/>
      <c r="Z529" s="3"/>
      <c r="AD529" s="2"/>
      <c r="AE529" s="2"/>
      <c r="AF529" s="2"/>
    </row>
    <row r="530" spans="1:32" ht="15.75">
      <c r="A530" s="1"/>
      <c r="R530" s="2"/>
      <c r="S530" s="2"/>
      <c r="X530" s="3"/>
      <c r="Y530" s="3"/>
      <c r="Z530" s="3"/>
      <c r="AD530" s="2"/>
      <c r="AE530" s="2"/>
      <c r="AF530" s="2"/>
    </row>
    <row r="531" spans="1:32" ht="15.75">
      <c r="A531" s="1"/>
      <c r="R531" s="2"/>
      <c r="S531" s="2"/>
      <c r="X531" s="3"/>
      <c r="Y531" s="3"/>
      <c r="Z531" s="3"/>
      <c r="AD531" s="2"/>
      <c r="AE531" s="2"/>
      <c r="AF531" s="2"/>
    </row>
    <row r="532" spans="1:32" ht="15.75">
      <c r="A532" s="1"/>
      <c r="R532" s="2"/>
      <c r="S532" s="2"/>
      <c r="X532" s="3"/>
      <c r="Y532" s="3"/>
      <c r="Z532" s="3"/>
      <c r="AD532" s="2"/>
      <c r="AE532" s="2"/>
      <c r="AF532" s="2"/>
    </row>
    <row r="533" spans="1:32" ht="15.75">
      <c r="A533" s="1"/>
      <c r="R533" s="2"/>
      <c r="S533" s="2"/>
      <c r="X533" s="3"/>
      <c r="Y533" s="3"/>
      <c r="Z533" s="3"/>
      <c r="AD533" s="2"/>
      <c r="AE533" s="2"/>
      <c r="AF533" s="2"/>
    </row>
    <row r="534" spans="1:32" ht="15.75">
      <c r="A534" s="1"/>
      <c r="R534" s="2"/>
      <c r="S534" s="2"/>
      <c r="X534" s="3"/>
      <c r="Y534" s="3"/>
      <c r="Z534" s="3"/>
      <c r="AD534" s="2"/>
      <c r="AE534" s="2"/>
      <c r="AF534" s="2"/>
    </row>
    <row r="535" spans="1:32" ht="15.75">
      <c r="A535" s="1"/>
      <c r="R535" s="2"/>
      <c r="S535" s="2"/>
      <c r="X535" s="3"/>
      <c r="Y535" s="3"/>
      <c r="Z535" s="3"/>
      <c r="AD535" s="2"/>
      <c r="AE535" s="2"/>
      <c r="AF535" s="2"/>
    </row>
    <row r="536" spans="1:32" ht="15.75">
      <c r="A536" s="1"/>
      <c r="R536" s="2"/>
      <c r="S536" s="2"/>
      <c r="X536" s="3"/>
      <c r="Y536" s="3"/>
      <c r="Z536" s="3"/>
      <c r="AD536" s="2"/>
      <c r="AE536" s="2"/>
      <c r="AF536" s="2"/>
    </row>
    <row r="537" spans="1:32" ht="15.75">
      <c r="A537" s="1"/>
      <c r="R537" s="2"/>
      <c r="S537" s="2"/>
      <c r="X537" s="3"/>
      <c r="Y537" s="3"/>
      <c r="Z537" s="3"/>
      <c r="AD537" s="2"/>
      <c r="AE537" s="2"/>
      <c r="AF537" s="2"/>
    </row>
    <row r="538" spans="1:32" ht="15.75">
      <c r="A538" s="1"/>
      <c r="R538" s="2"/>
      <c r="S538" s="2"/>
      <c r="X538" s="3"/>
      <c r="Y538" s="3"/>
      <c r="Z538" s="3"/>
      <c r="AD538" s="2"/>
      <c r="AE538" s="2"/>
      <c r="AF538" s="2"/>
    </row>
    <row r="539" spans="1:32" ht="15.75">
      <c r="A539" s="1"/>
      <c r="R539" s="2"/>
      <c r="S539" s="2"/>
      <c r="X539" s="3"/>
      <c r="Y539" s="3"/>
      <c r="Z539" s="3"/>
      <c r="AD539" s="2"/>
      <c r="AE539" s="2"/>
      <c r="AF539" s="2"/>
    </row>
    <row r="540" spans="1:32" ht="15.75">
      <c r="A540" s="1"/>
      <c r="R540" s="2"/>
      <c r="S540" s="2"/>
      <c r="X540" s="3"/>
      <c r="Y540" s="3"/>
      <c r="Z540" s="3"/>
      <c r="AD540" s="2"/>
      <c r="AE540" s="2"/>
      <c r="AF540" s="2"/>
    </row>
    <row r="541" spans="1:32" ht="15.75">
      <c r="A541" s="1"/>
      <c r="R541" s="2"/>
      <c r="S541" s="2"/>
      <c r="X541" s="3"/>
      <c r="Y541" s="3"/>
      <c r="Z541" s="3"/>
      <c r="AD541" s="2"/>
      <c r="AE541" s="2"/>
      <c r="AF541" s="2"/>
    </row>
    <row r="542" spans="1:32" ht="15.75">
      <c r="A542" s="1"/>
      <c r="R542" s="2"/>
      <c r="S542" s="2"/>
      <c r="X542" s="3"/>
      <c r="Y542" s="3"/>
      <c r="Z542" s="3"/>
      <c r="AD542" s="2"/>
      <c r="AE542" s="2"/>
      <c r="AF542" s="2"/>
    </row>
    <row r="543" spans="1:32" ht="15.75">
      <c r="A543" s="1"/>
      <c r="R543" s="2"/>
      <c r="S543" s="2"/>
      <c r="X543" s="3"/>
      <c r="Y543" s="3"/>
      <c r="Z543" s="3"/>
      <c r="AD543" s="2"/>
      <c r="AE543" s="2"/>
      <c r="AF543" s="2"/>
    </row>
    <row r="544" spans="1:32" ht="15.75">
      <c r="A544" s="1"/>
      <c r="R544" s="2"/>
      <c r="S544" s="2"/>
      <c r="X544" s="3"/>
      <c r="Y544" s="3"/>
      <c r="Z544" s="3"/>
      <c r="AD544" s="2"/>
      <c r="AE544" s="2"/>
      <c r="AF544" s="2"/>
    </row>
    <row r="545" spans="1:32" ht="15.75">
      <c r="A545" s="1"/>
      <c r="R545" s="2"/>
      <c r="S545" s="2"/>
      <c r="X545" s="3"/>
      <c r="Y545" s="3"/>
      <c r="Z545" s="3"/>
      <c r="AD545" s="2"/>
      <c r="AE545" s="2"/>
      <c r="AF545" s="2"/>
    </row>
    <row r="546" spans="1:32" ht="15.75">
      <c r="A546" s="1"/>
      <c r="R546" s="2"/>
      <c r="S546" s="2"/>
      <c r="X546" s="3"/>
      <c r="Y546" s="3"/>
      <c r="Z546" s="3"/>
      <c r="AD546" s="2"/>
      <c r="AE546" s="2"/>
      <c r="AF546" s="2"/>
    </row>
    <row r="547" spans="1:32" ht="15.75">
      <c r="A547" s="1"/>
      <c r="R547" s="2"/>
      <c r="S547" s="2"/>
      <c r="X547" s="3"/>
      <c r="Y547" s="3"/>
      <c r="Z547" s="3"/>
      <c r="AD547" s="2"/>
      <c r="AE547" s="2"/>
      <c r="AF547" s="2"/>
    </row>
    <row r="548" spans="1:32" ht="15.75">
      <c r="A548" s="1"/>
      <c r="R548" s="2"/>
      <c r="S548" s="2"/>
      <c r="X548" s="3"/>
      <c r="Y548" s="3"/>
      <c r="Z548" s="3"/>
      <c r="AD548" s="2"/>
      <c r="AE548" s="2"/>
      <c r="AF548" s="2"/>
    </row>
    <row r="549" spans="1:32" ht="15.75">
      <c r="A549" s="1"/>
      <c r="R549" s="2"/>
      <c r="S549" s="2"/>
      <c r="X549" s="3"/>
      <c r="Y549" s="3"/>
      <c r="Z549" s="3"/>
      <c r="AD549" s="2"/>
      <c r="AE549" s="2"/>
      <c r="AF549" s="2"/>
    </row>
    <row r="550" spans="1:32" ht="15.75">
      <c r="A550" s="1"/>
      <c r="R550" s="2"/>
      <c r="S550" s="2"/>
      <c r="X550" s="3"/>
      <c r="Y550" s="3"/>
      <c r="Z550" s="3"/>
      <c r="AD550" s="2"/>
      <c r="AE550" s="2"/>
      <c r="AF550" s="2"/>
    </row>
    <row r="551" spans="1:32" ht="15.75">
      <c r="A551" s="1"/>
      <c r="R551" s="2"/>
      <c r="S551" s="2"/>
      <c r="X551" s="3"/>
      <c r="Y551" s="3"/>
      <c r="Z551" s="3"/>
      <c r="AD551" s="2"/>
      <c r="AE551" s="2"/>
      <c r="AF551" s="2"/>
    </row>
    <row r="552" spans="1:32" ht="15.75">
      <c r="A552" s="1"/>
      <c r="R552" s="2"/>
      <c r="S552" s="2"/>
      <c r="X552" s="3"/>
      <c r="Y552" s="3"/>
      <c r="Z552" s="3"/>
      <c r="AD552" s="2"/>
      <c r="AE552" s="2"/>
      <c r="AF552" s="2"/>
    </row>
    <row r="553" spans="1:32" ht="15.75">
      <c r="A553" s="1"/>
      <c r="R553" s="2"/>
      <c r="S553" s="2"/>
      <c r="X553" s="3"/>
      <c r="Y553" s="3"/>
      <c r="Z553" s="3"/>
      <c r="AD553" s="2"/>
      <c r="AE553" s="2"/>
      <c r="AF553" s="2"/>
    </row>
    <row r="554" spans="1:32" ht="15.75">
      <c r="A554" s="1"/>
      <c r="R554" s="2"/>
      <c r="S554" s="2"/>
      <c r="X554" s="3"/>
      <c r="Y554" s="3"/>
      <c r="Z554" s="3"/>
      <c r="AD554" s="2"/>
      <c r="AE554" s="2"/>
      <c r="AF554" s="2"/>
    </row>
    <row r="555" spans="1:32" ht="15.75">
      <c r="A555" s="1"/>
      <c r="R555" s="2"/>
      <c r="S555" s="2"/>
      <c r="X555" s="3"/>
      <c r="Y555" s="3"/>
      <c r="Z555" s="3"/>
      <c r="AD555" s="2"/>
      <c r="AE555" s="2"/>
      <c r="AF555" s="2"/>
    </row>
    <row r="556" spans="1:32" ht="15.75">
      <c r="A556" s="1"/>
      <c r="R556" s="2"/>
      <c r="S556" s="2"/>
      <c r="X556" s="3"/>
      <c r="Y556" s="3"/>
      <c r="Z556" s="3"/>
      <c r="AD556" s="2"/>
      <c r="AE556" s="2"/>
      <c r="AF556" s="2"/>
    </row>
    <row r="557" spans="1:32" ht="15.75">
      <c r="A557" s="1"/>
      <c r="R557" s="2"/>
      <c r="S557" s="2"/>
      <c r="X557" s="3"/>
      <c r="Y557" s="3"/>
      <c r="Z557" s="3"/>
      <c r="AD557" s="2"/>
      <c r="AE557" s="2"/>
      <c r="AF557" s="2"/>
    </row>
    <row r="558" spans="1:32" ht="15.75">
      <c r="A558" s="1"/>
      <c r="R558" s="2"/>
      <c r="S558" s="2"/>
      <c r="X558" s="3"/>
      <c r="Y558" s="3"/>
      <c r="Z558" s="3"/>
      <c r="AD558" s="2"/>
      <c r="AE558" s="2"/>
      <c r="AF558" s="2"/>
    </row>
    <row r="559" spans="1:32" ht="15.75">
      <c r="A559" s="1"/>
      <c r="R559" s="2"/>
      <c r="S559" s="2"/>
      <c r="X559" s="3"/>
      <c r="Y559" s="3"/>
      <c r="Z559" s="3"/>
      <c r="AD559" s="2"/>
      <c r="AE559" s="2"/>
      <c r="AF559" s="2"/>
    </row>
    <row r="560" spans="1:32" ht="15.75">
      <c r="A560" s="1"/>
      <c r="R560" s="2"/>
      <c r="S560" s="2"/>
      <c r="X560" s="3"/>
      <c r="Y560" s="3"/>
      <c r="Z560" s="3"/>
      <c r="AD560" s="2"/>
      <c r="AE560" s="2"/>
      <c r="AF560" s="2"/>
    </row>
    <row r="561" spans="1:32" ht="15.75">
      <c r="A561" s="1"/>
      <c r="R561" s="2"/>
      <c r="S561" s="2"/>
      <c r="X561" s="3"/>
      <c r="Y561" s="3"/>
      <c r="Z561" s="3"/>
      <c r="AD561" s="2"/>
      <c r="AE561" s="2"/>
      <c r="AF561" s="2"/>
    </row>
    <row r="562" spans="1:32" ht="15.75">
      <c r="A562" s="1"/>
      <c r="R562" s="2"/>
      <c r="S562" s="2"/>
      <c r="X562" s="3"/>
      <c r="Y562" s="3"/>
      <c r="Z562" s="3"/>
      <c r="AD562" s="2"/>
      <c r="AE562" s="2"/>
      <c r="AF562" s="2"/>
    </row>
    <row r="563" spans="1:32" ht="15.75">
      <c r="A563" s="1"/>
      <c r="R563" s="2"/>
      <c r="S563" s="2"/>
      <c r="X563" s="3"/>
      <c r="Y563" s="3"/>
      <c r="Z563" s="3"/>
      <c r="AD563" s="2"/>
      <c r="AE563" s="2"/>
      <c r="AF563" s="2"/>
    </row>
    <row r="564" spans="1:32" ht="15.75">
      <c r="A564" s="1"/>
      <c r="R564" s="2"/>
      <c r="S564" s="2"/>
      <c r="X564" s="3"/>
      <c r="Y564" s="3"/>
      <c r="Z564" s="3"/>
      <c r="AD564" s="2"/>
      <c r="AE564" s="2"/>
      <c r="AF564" s="2"/>
    </row>
    <row r="565" spans="1:32" ht="15.75">
      <c r="A565" s="1"/>
      <c r="R565" s="2"/>
      <c r="S565" s="2"/>
      <c r="X565" s="3"/>
      <c r="Y565" s="3"/>
      <c r="Z565" s="3"/>
      <c r="AD565" s="2"/>
      <c r="AE565" s="2"/>
      <c r="AF565" s="2"/>
    </row>
    <row r="566" spans="1:32" ht="15.75">
      <c r="A566" s="1"/>
      <c r="R566" s="2"/>
      <c r="S566" s="2"/>
      <c r="X566" s="3"/>
      <c r="Y566" s="3"/>
      <c r="Z566" s="3"/>
      <c r="AD566" s="2"/>
      <c r="AE566" s="2"/>
      <c r="AF566" s="2"/>
    </row>
    <row r="567" spans="1:32" ht="15.75">
      <c r="A567" s="1"/>
      <c r="R567" s="2"/>
      <c r="S567" s="2"/>
      <c r="X567" s="3"/>
      <c r="Y567" s="3"/>
      <c r="Z567" s="3"/>
      <c r="AD567" s="2"/>
      <c r="AE567" s="2"/>
      <c r="AF567" s="2"/>
    </row>
    <row r="568" spans="1:32" ht="15.75">
      <c r="A568" s="1"/>
      <c r="R568" s="2"/>
      <c r="S568" s="2"/>
      <c r="X568" s="3"/>
      <c r="Y568" s="3"/>
      <c r="Z568" s="3"/>
      <c r="AD568" s="2"/>
      <c r="AE568" s="2"/>
      <c r="AF568" s="2"/>
    </row>
    <row r="569" spans="1:32" ht="15.75">
      <c r="A569" s="1"/>
      <c r="R569" s="2"/>
      <c r="S569" s="2"/>
      <c r="X569" s="3"/>
      <c r="Y569" s="3"/>
      <c r="Z569" s="3"/>
      <c r="AD569" s="2"/>
      <c r="AE569" s="2"/>
      <c r="AF569" s="2"/>
    </row>
    <row r="570" spans="1:32" ht="15.75">
      <c r="A570" s="1"/>
      <c r="R570" s="2"/>
      <c r="S570" s="2"/>
      <c r="X570" s="3"/>
      <c r="Y570" s="3"/>
      <c r="Z570" s="3"/>
      <c r="AD570" s="2"/>
      <c r="AE570" s="2"/>
      <c r="AF570" s="2"/>
    </row>
    <row r="571" spans="1:32" ht="15.75">
      <c r="A571" s="1"/>
      <c r="R571" s="2"/>
      <c r="S571" s="2"/>
      <c r="X571" s="3"/>
      <c r="Y571" s="3"/>
      <c r="Z571" s="3"/>
      <c r="AD571" s="2"/>
      <c r="AE571" s="2"/>
      <c r="AF571" s="2"/>
    </row>
    <row r="572" spans="1:32" ht="15.75">
      <c r="A572" s="1"/>
      <c r="R572" s="2"/>
      <c r="S572" s="2"/>
      <c r="X572" s="3"/>
      <c r="Y572" s="3"/>
      <c r="Z572" s="3"/>
      <c r="AD572" s="2"/>
      <c r="AE572" s="2"/>
      <c r="AF572" s="2"/>
    </row>
    <row r="573" spans="1:32" ht="15.75">
      <c r="A573" s="1"/>
      <c r="R573" s="2"/>
      <c r="S573" s="2"/>
      <c r="X573" s="3"/>
      <c r="Y573" s="3"/>
      <c r="Z573" s="3"/>
      <c r="AD573" s="2"/>
      <c r="AE573" s="2"/>
      <c r="AF573" s="2"/>
    </row>
    <row r="574" spans="1:32" ht="15.75">
      <c r="A574" s="1"/>
      <c r="R574" s="2"/>
      <c r="S574" s="2"/>
      <c r="X574" s="3"/>
      <c r="Y574" s="3"/>
      <c r="Z574" s="3"/>
      <c r="AD574" s="2"/>
      <c r="AE574" s="2"/>
      <c r="AF574" s="2"/>
    </row>
    <row r="575" spans="1:32" ht="15.75">
      <c r="A575" s="1"/>
      <c r="R575" s="2"/>
      <c r="S575" s="2"/>
      <c r="X575" s="3"/>
      <c r="Y575" s="3"/>
      <c r="Z575" s="3"/>
      <c r="AD575" s="2"/>
      <c r="AE575" s="2"/>
      <c r="AF575" s="2"/>
    </row>
    <row r="576" spans="1:32" ht="15.75">
      <c r="A576" s="1"/>
      <c r="R576" s="2"/>
      <c r="S576" s="2"/>
      <c r="X576" s="3"/>
      <c r="Y576" s="3"/>
      <c r="Z576" s="3"/>
      <c r="AD576" s="2"/>
      <c r="AE576" s="2"/>
      <c r="AF576" s="2"/>
    </row>
    <row r="577" spans="1:32" ht="15.75">
      <c r="A577" s="1"/>
      <c r="R577" s="2"/>
      <c r="S577" s="2"/>
      <c r="X577" s="3"/>
      <c r="Y577" s="3"/>
      <c r="Z577" s="3"/>
      <c r="AD577" s="2"/>
      <c r="AE577" s="2"/>
      <c r="AF577" s="2"/>
    </row>
    <row r="578" spans="1:32" ht="15.75">
      <c r="A578" s="1"/>
      <c r="R578" s="2"/>
      <c r="S578" s="2"/>
      <c r="X578" s="3"/>
      <c r="Y578" s="3"/>
      <c r="Z578" s="3"/>
      <c r="AD578" s="2"/>
      <c r="AE578" s="2"/>
      <c r="AF578" s="2"/>
    </row>
    <row r="579" spans="1:32" ht="15.75">
      <c r="A579" s="1"/>
      <c r="R579" s="2"/>
      <c r="S579" s="2"/>
      <c r="X579" s="3"/>
      <c r="Y579" s="3"/>
      <c r="Z579" s="3"/>
      <c r="AD579" s="2"/>
      <c r="AE579" s="2"/>
      <c r="AF579" s="2"/>
    </row>
    <row r="580" spans="1:32" ht="15.75">
      <c r="A580" s="1"/>
      <c r="R580" s="2"/>
      <c r="S580" s="2"/>
      <c r="X580" s="3"/>
      <c r="Y580" s="3"/>
      <c r="Z580" s="3"/>
      <c r="AD580" s="2"/>
      <c r="AE580" s="2"/>
      <c r="AF580" s="2"/>
    </row>
    <row r="581" spans="1:32" ht="15.75">
      <c r="A581" s="1"/>
      <c r="R581" s="2"/>
      <c r="S581" s="2"/>
      <c r="X581" s="3"/>
      <c r="Y581" s="3"/>
      <c r="Z581" s="3"/>
      <c r="AD581" s="2"/>
      <c r="AE581" s="2"/>
      <c r="AF581" s="2"/>
    </row>
    <row r="582" spans="1:32" ht="15.75">
      <c r="A582" s="1"/>
      <c r="R582" s="2"/>
      <c r="S582" s="2"/>
      <c r="X582" s="3"/>
      <c r="Y582" s="3"/>
      <c r="Z582" s="3"/>
      <c r="AD582" s="2"/>
      <c r="AE582" s="2"/>
      <c r="AF582" s="2"/>
    </row>
    <row r="583" spans="1:32" ht="15.75">
      <c r="A583" s="1"/>
      <c r="R583" s="2"/>
      <c r="S583" s="2"/>
      <c r="X583" s="3"/>
      <c r="Y583" s="3"/>
      <c r="Z583" s="3"/>
      <c r="AD583" s="2"/>
      <c r="AE583" s="2"/>
      <c r="AF583" s="2"/>
    </row>
    <row r="584" spans="1:32" ht="15.75">
      <c r="A584" s="1"/>
      <c r="R584" s="2"/>
      <c r="S584" s="2"/>
      <c r="X584" s="3"/>
      <c r="Y584" s="3"/>
      <c r="Z584" s="3"/>
      <c r="AD584" s="2"/>
      <c r="AE584" s="2"/>
      <c r="AF584" s="2"/>
    </row>
    <row r="585" spans="1:32" ht="15.75">
      <c r="A585" s="1"/>
      <c r="R585" s="2"/>
      <c r="S585" s="2"/>
      <c r="X585" s="3"/>
      <c r="Y585" s="3"/>
      <c r="Z585" s="3"/>
      <c r="AD585" s="2"/>
      <c r="AE585" s="2"/>
      <c r="AF585" s="2"/>
    </row>
    <row r="586" spans="1:32" ht="15.75">
      <c r="A586" s="1"/>
      <c r="R586" s="2"/>
      <c r="S586" s="2"/>
      <c r="X586" s="3"/>
      <c r="Y586" s="3"/>
      <c r="Z586" s="3"/>
      <c r="AD586" s="2"/>
      <c r="AE586" s="2"/>
      <c r="AF586" s="2"/>
    </row>
    <row r="587" spans="1:32" ht="15.75">
      <c r="A587" s="1"/>
      <c r="R587" s="2"/>
      <c r="S587" s="2"/>
      <c r="X587" s="3"/>
      <c r="Y587" s="3"/>
      <c r="Z587" s="3"/>
      <c r="AD587" s="2"/>
      <c r="AE587" s="2"/>
      <c r="AF587" s="2"/>
    </row>
    <row r="588" spans="1:32" ht="15.75">
      <c r="A588" s="1"/>
      <c r="R588" s="2"/>
      <c r="S588" s="2"/>
      <c r="X588" s="3"/>
      <c r="Y588" s="3"/>
      <c r="Z588" s="3"/>
      <c r="AD588" s="2"/>
      <c r="AE588" s="2"/>
      <c r="AF588" s="2"/>
    </row>
    <row r="589" spans="1:32" ht="15.75">
      <c r="A589" s="1"/>
      <c r="R589" s="2"/>
      <c r="S589" s="2"/>
      <c r="X589" s="3"/>
      <c r="Y589" s="3"/>
      <c r="Z589" s="3"/>
      <c r="AD589" s="2"/>
      <c r="AE589" s="2"/>
      <c r="AF589" s="2"/>
    </row>
    <row r="590" spans="1:32" ht="15.75">
      <c r="A590" s="1"/>
      <c r="R590" s="2"/>
      <c r="S590" s="2"/>
      <c r="X590" s="3"/>
      <c r="Y590" s="3"/>
      <c r="Z590" s="3"/>
      <c r="AD590" s="2"/>
      <c r="AE590" s="2"/>
      <c r="AF590" s="2"/>
    </row>
    <row r="591" spans="1:32" ht="15.75">
      <c r="A591" s="1"/>
      <c r="R591" s="2"/>
      <c r="S591" s="2"/>
      <c r="X591" s="3"/>
      <c r="Y591" s="3"/>
      <c r="Z591" s="3"/>
      <c r="AD591" s="2"/>
      <c r="AE591" s="2"/>
      <c r="AF591" s="2"/>
    </row>
    <row r="592" spans="1:32" ht="15.75">
      <c r="A592" s="1"/>
      <c r="R592" s="2"/>
      <c r="S592" s="2"/>
      <c r="X592" s="3"/>
      <c r="Y592" s="3"/>
      <c r="Z592" s="3"/>
      <c r="AD592" s="2"/>
      <c r="AE592" s="2"/>
      <c r="AF592" s="2"/>
    </row>
    <row r="593" spans="1:32" ht="15.75">
      <c r="A593" s="1"/>
      <c r="R593" s="2"/>
      <c r="S593" s="2"/>
      <c r="X593" s="3"/>
      <c r="Y593" s="3"/>
      <c r="Z593" s="3"/>
      <c r="AD593" s="2"/>
      <c r="AE593" s="2"/>
      <c r="AF593" s="2"/>
    </row>
    <row r="594" spans="1:32" ht="15.75">
      <c r="A594" s="1"/>
      <c r="R594" s="2"/>
      <c r="S594" s="2"/>
      <c r="X594" s="3"/>
      <c r="Y594" s="3"/>
      <c r="Z594" s="3"/>
      <c r="AD594" s="2"/>
      <c r="AE594" s="2"/>
      <c r="AF594" s="2"/>
    </row>
    <row r="595" spans="1:32" ht="15.75">
      <c r="A595" s="1"/>
      <c r="R595" s="2"/>
      <c r="S595" s="2"/>
      <c r="X595" s="3"/>
      <c r="Y595" s="3"/>
      <c r="Z595" s="3"/>
      <c r="AD595" s="2"/>
      <c r="AE595" s="2"/>
      <c r="AF595" s="2"/>
    </row>
    <row r="596" spans="1:32" ht="15.75">
      <c r="A596" s="1"/>
      <c r="R596" s="2"/>
      <c r="S596" s="2"/>
      <c r="X596" s="3"/>
      <c r="Y596" s="3"/>
      <c r="Z596" s="3"/>
      <c r="AD596" s="2"/>
      <c r="AE596" s="2"/>
      <c r="AF596" s="2"/>
    </row>
    <row r="597" spans="1:32" ht="15.75">
      <c r="A597" s="1"/>
      <c r="R597" s="2"/>
      <c r="S597" s="2"/>
      <c r="X597" s="3"/>
      <c r="Y597" s="3"/>
      <c r="Z597" s="3"/>
      <c r="AD597" s="2"/>
      <c r="AE597" s="2"/>
      <c r="AF597" s="2"/>
    </row>
    <row r="598" spans="1:32" ht="15.75">
      <c r="A598" s="1"/>
      <c r="R598" s="2"/>
      <c r="S598" s="2"/>
      <c r="X598" s="3"/>
      <c r="Y598" s="3"/>
      <c r="Z598" s="3"/>
      <c r="AD598" s="2"/>
      <c r="AE598" s="2"/>
      <c r="AF598" s="2"/>
    </row>
    <row r="599" spans="1:32" ht="15.75">
      <c r="A599" s="1"/>
      <c r="R599" s="2"/>
      <c r="S599" s="2"/>
      <c r="X599" s="3"/>
      <c r="Y599" s="3"/>
      <c r="Z599" s="3"/>
      <c r="AD599" s="2"/>
      <c r="AE599" s="2"/>
      <c r="AF599" s="2"/>
    </row>
    <row r="600" spans="1:32" ht="15.75">
      <c r="A600" s="1"/>
      <c r="R600" s="2"/>
      <c r="S600" s="2"/>
      <c r="X600" s="3"/>
      <c r="Y600" s="3"/>
      <c r="Z600" s="3"/>
      <c r="AD600" s="2"/>
      <c r="AE600" s="2"/>
      <c r="AF600" s="2"/>
    </row>
    <row r="601" spans="1:32" ht="15.75">
      <c r="A601" s="1"/>
      <c r="R601" s="2"/>
      <c r="S601" s="2"/>
      <c r="X601" s="3"/>
      <c r="Y601" s="3"/>
      <c r="Z601" s="3"/>
      <c r="AD601" s="2"/>
      <c r="AE601" s="2"/>
      <c r="AF601" s="2"/>
    </row>
    <row r="602" spans="1:32" ht="15.75">
      <c r="A602" s="1"/>
      <c r="R602" s="2"/>
      <c r="S602" s="2"/>
      <c r="X602" s="3"/>
      <c r="Y602" s="3"/>
      <c r="Z602" s="3"/>
      <c r="AD602" s="2"/>
      <c r="AE602" s="2"/>
      <c r="AF602" s="2"/>
    </row>
    <row r="603" spans="1:32" ht="15.75">
      <c r="A603" s="1"/>
      <c r="R603" s="2"/>
      <c r="S603" s="2"/>
      <c r="X603" s="3"/>
      <c r="Y603" s="3"/>
      <c r="Z603" s="3"/>
      <c r="AD603" s="2"/>
      <c r="AE603" s="2"/>
      <c r="AF603" s="2"/>
    </row>
    <row r="604" spans="1:32" ht="15.75">
      <c r="A604" s="1"/>
      <c r="R604" s="2"/>
      <c r="S604" s="2"/>
      <c r="X604" s="3"/>
      <c r="Y604" s="3"/>
      <c r="Z604" s="3"/>
      <c r="AD604" s="2"/>
      <c r="AE604" s="2"/>
      <c r="AF604" s="2"/>
    </row>
    <row r="605" spans="1:32" ht="15.75">
      <c r="A605" s="1"/>
      <c r="R605" s="2"/>
      <c r="S605" s="2"/>
      <c r="X605" s="3"/>
      <c r="Y605" s="3"/>
      <c r="Z605" s="3"/>
      <c r="AD605" s="2"/>
      <c r="AE605" s="2"/>
      <c r="AF605" s="2"/>
    </row>
    <row r="606" spans="1:32" ht="15.75">
      <c r="A606" s="1"/>
      <c r="R606" s="2"/>
      <c r="S606" s="2"/>
      <c r="X606" s="3"/>
      <c r="Y606" s="3"/>
      <c r="Z606" s="3"/>
      <c r="AD606" s="2"/>
      <c r="AE606" s="2"/>
      <c r="AF606" s="2"/>
    </row>
    <row r="607" spans="1:32" ht="15.75">
      <c r="A607" s="1"/>
      <c r="R607" s="2"/>
      <c r="S607" s="2"/>
      <c r="X607" s="3"/>
      <c r="Y607" s="3"/>
      <c r="Z607" s="3"/>
      <c r="AD607" s="2"/>
      <c r="AE607" s="2"/>
      <c r="AF607" s="2"/>
    </row>
    <row r="608" spans="1:32" ht="15.75">
      <c r="A608" s="1"/>
      <c r="R608" s="2"/>
      <c r="S608" s="2"/>
      <c r="X608" s="3"/>
      <c r="Y608" s="3"/>
      <c r="Z608" s="3"/>
      <c r="AD608" s="2"/>
      <c r="AE608" s="2"/>
      <c r="AF608" s="2"/>
    </row>
    <row r="609" spans="1:32" ht="15.75">
      <c r="A609" s="1"/>
      <c r="R609" s="2"/>
      <c r="S609" s="2"/>
      <c r="X609" s="3"/>
      <c r="Y609" s="3"/>
      <c r="Z609" s="3"/>
      <c r="AD609" s="2"/>
      <c r="AE609" s="2"/>
      <c r="AF609" s="2"/>
    </row>
    <row r="610" spans="1:32" ht="15.75">
      <c r="A610" s="1"/>
      <c r="R610" s="2"/>
      <c r="S610" s="2"/>
      <c r="X610" s="3"/>
      <c r="Y610" s="3"/>
      <c r="Z610" s="3"/>
      <c r="AD610" s="2"/>
      <c r="AE610" s="2"/>
      <c r="AF610" s="2"/>
    </row>
    <row r="611" spans="1:32" ht="15.75">
      <c r="A611" s="1"/>
      <c r="R611" s="2"/>
      <c r="S611" s="2"/>
      <c r="X611" s="3"/>
      <c r="Y611" s="3"/>
      <c r="Z611" s="3"/>
      <c r="AD611" s="2"/>
      <c r="AE611" s="2"/>
      <c r="AF611" s="2"/>
    </row>
    <row r="612" spans="1:32" ht="15.75">
      <c r="A612" s="1"/>
      <c r="R612" s="2"/>
      <c r="S612" s="2"/>
      <c r="X612" s="3"/>
      <c r="Y612" s="3"/>
      <c r="Z612" s="3"/>
      <c r="AD612" s="2"/>
      <c r="AE612" s="2"/>
      <c r="AF612" s="2"/>
    </row>
    <row r="613" spans="1:32" ht="15.75">
      <c r="A613" s="1"/>
      <c r="R613" s="2"/>
      <c r="S613" s="2"/>
      <c r="X613" s="3"/>
      <c r="Y613" s="3"/>
      <c r="Z613" s="3"/>
      <c r="AD613" s="2"/>
      <c r="AE613" s="2"/>
      <c r="AF613" s="2"/>
    </row>
    <row r="614" spans="1:32" ht="15.75">
      <c r="A614" s="1"/>
      <c r="R614" s="2"/>
      <c r="S614" s="2"/>
      <c r="X614" s="3"/>
      <c r="Y614" s="3"/>
      <c r="Z614" s="3"/>
      <c r="AD614" s="2"/>
      <c r="AE614" s="2"/>
      <c r="AF614" s="2"/>
    </row>
    <row r="615" spans="1:32" ht="15.75">
      <c r="A615" s="1"/>
      <c r="R615" s="2"/>
      <c r="S615" s="2"/>
      <c r="X615" s="3"/>
      <c r="Y615" s="3"/>
      <c r="Z615" s="3"/>
      <c r="AD615" s="2"/>
      <c r="AE615" s="2"/>
      <c r="AF615" s="2"/>
    </row>
    <row r="616" spans="1:32" ht="15.75">
      <c r="A616" s="1"/>
      <c r="R616" s="2"/>
      <c r="S616" s="2"/>
      <c r="X616" s="3"/>
      <c r="Y616" s="3"/>
      <c r="Z616" s="3"/>
      <c r="AD616" s="2"/>
      <c r="AE616" s="2"/>
      <c r="AF616" s="2"/>
    </row>
    <row r="617" spans="1:32" ht="15.75">
      <c r="A617" s="1"/>
      <c r="R617" s="2"/>
      <c r="S617" s="2"/>
      <c r="X617" s="3"/>
      <c r="Y617" s="3"/>
      <c r="Z617" s="3"/>
      <c r="AD617" s="2"/>
      <c r="AE617" s="2"/>
      <c r="AF617" s="2"/>
    </row>
    <row r="618" spans="1:32" ht="15.75">
      <c r="A618" s="1"/>
      <c r="R618" s="2"/>
      <c r="S618" s="2"/>
      <c r="X618" s="3"/>
      <c r="Y618" s="3"/>
      <c r="Z618" s="3"/>
      <c r="AD618" s="2"/>
      <c r="AE618" s="2"/>
      <c r="AF618" s="2"/>
    </row>
    <row r="619" spans="1:32" ht="15.75">
      <c r="A619" s="1"/>
      <c r="R619" s="2"/>
      <c r="S619" s="2"/>
      <c r="X619" s="3"/>
      <c r="Y619" s="3"/>
      <c r="Z619" s="3"/>
      <c r="AD619" s="2"/>
      <c r="AE619" s="2"/>
      <c r="AF619" s="2"/>
    </row>
    <row r="620" spans="1:32" ht="15.75">
      <c r="A620" s="1"/>
      <c r="R620" s="2"/>
      <c r="S620" s="2"/>
      <c r="X620" s="3"/>
      <c r="Y620" s="3"/>
      <c r="Z620" s="3"/>
      <c r="AD620" s="2"/>
      <c r="AE620" s="2"/>
      <c r="AF620" s="2"/>
    </row>
    <row r="621" spans="1:32" ht="15.75">
      <c r="A621" s="1"/>
      <c r="R621" s="2"/>
      <c r="S621" s="2"/>
      <c r="X621" s="3"/>
      <c r="Y621" s="3"/>
      <c r="Z621" s="3"/>
      <c r="AD621" s="2"/>
      <c r="AE621" s="2"/>
      <c r="AF621" s="2"/>
    </row>
    <row r="622" spans="1:32" ht="15.75">
      <c r="A622" s="1"/>
      <c r="R622" s="2"/>
      <c r="S622" s="2"/>
      <c r="X622" s="3"/>
      <c r="Y622" s="3"/>
      <c r="Z622" s="3"/>
      <c r="AD622" s="2"/>
      <c r="AE622" s="2"/>
      <c r="AF622" s="2"/>
    </row>
    <row r="623" spans="1:32" ht="15.75">
      <c r="A623" s="1"/>
      <c r="R623" s="2"/>
      <c r="S623" s="2"/>
      <c r="X623" s="3"/>
      <c r="Y623" s="3"/>
      <c r="Z623" s="3"/>
      <c r="AD623" s="2"/>
      <c r="AE623" s="2"/>
      <c r="AF623" s="2"/>
    </row>
    <row r="624" spans="1:32" ht="15.75">
      <c r="A624" s="1"/>
      <c r="R624" s="2"/>
      <c r="S624" s="2"/>
      <c r="X624" s="3"/>
      <c r="Y624" s="3"/>
      <c r="Z624" s="3"/>
      <c r="AD624" s="2"/>
      <c r="AE624" s="2"/>
      <c r="AF624" s="2"/>
    </row>
    <row r="625" spans="1:32" ht="15.75">
      <c r="A625" s="1"/>
      <c r="R625" s="2"/>
      <c r="S625" s="2"/>
      <c r="X625" s="3"/>
      <c r="Y625" s="3"/>
      <c r="Z625" s="3"/>
      <c r="AD625" s="2"/>
      <c r="AE625" s="2"/>
      <c r="AF625" s="2"/>
    </row>
    <row r="626" spans="1:32" ht="15.75">
      <c r="A626" s="1"/>
      <c r="R626" s="2"/>
      <c r="S626" s="2"/>
      <c r="X626" s="3"/>
      <c r="Y626" s="3"/>
      <c r="Z626" s="3"/>
      <c r="AD626" s="2"/>
      <c r="AE626" s="2"/>
      <c r="AF626" s="2"/>
    </row>
    <row r="627" spans="1:32" ht="15.75">
      <c r="A627" s="1"/>
      <c r="R627" s="2"/>
      <c r="S627" s="2"/>
      <c r="X627" s="3"/>
      <c r="Y627" s="3"/>
      <c r="Z627" s="3"/>
      <c r="AD627" s="2"/>
      <c r="AE627" s="2"/>
      <c r="AF627" s="2"/>
    </row>
    <row r="628" spans="1:32" ht="15.75">
      <c r="A628" s="1"/>
      <c r="R628" s="2"/>
      <c r="S628" s="2"/>
      <c r="X628" s="3"/>
      <c r="Y628" s="3"/>
      <c r="Z628" s="3"/>
      <c r="AD628" s="2"/>
      <c r="AE628" s="2"/>
      <c r="AF628" s="2"/>
    </row>
    <row r="629" spans="1:32" ht="15.75">
      <c r="A629" s="1"/>
      <c r="R629" s="2"/>
      <c r="S629" s="2"/>
      <c r="X629" s="3"/>
      <c r="Y629" s="3"/>
      <c r="Z629" s="3"/>
      <c r="AD629" s="2"/>
      <c r="AE629" s="2"/>
      <c r="AF629" s="2"/>
    </row>
    <row r="630" spans="1:32" ht="15.75">
      <c r="A630" s="1"/>
      <c r="R630" s="2"/>
      <c r="S630" s="2"/>
      <c r="X630" s="3"/>
      <c r="Y630" s="3"/>
      <c r="Z630" s="3"/>
      <c r="AD630" s="2"/>
      <c r="AE630" s="2"/>
      <c r="AF630" s="2"/>
    </row>
    <row r="631" spans="1:32" ht="15.75">
      <c r="A631" s="1"/>
      <c r="R631" s="2"/>
      <c r="S631" s="2"/>
      <c r="X631" s="3"/>
      <c r="Y631" s="3"/>
      <c r="Z631" s="3"/>
      <c r="AD631" s="2"/>
      <c r="AE631" s="2"/>
      <c r="AF631" s="2"/>
    </row>
    <row r="632" spans="1:32" ht="15.75">
      <c r="A632" s="1"/>
      <c r="R632" s="2"/>
      <c r="S632" s="2"/>
      <c r="X632" s="3"/>
      <c r="Y632" s="3"/>
      <c r="Z632" s="3"/>
      <c r="AD632" s="2"/>
      <c r="AE632" s="2"/>
      <c r="AF632" s="2"/>
    </row>
    <row r="633" spans="1:32" ht="15.75">
      <c r="A633" s="1"/>
      <c r="R633" s="2"/>
      <c r="S633" s="2"/>
      <c r="X633" s="3"/>
      <c r="Y633" s="3"/>
      <c r="Z633" s="3"/>
      <c r="AD633" s="2"/>
      <c r="AE633" s="2"/>
      <c r="AF633" s="2"/>
    </row>
    <row r="634" spans="1:32" ht="15.75">
      <c r="A634" s="1"/>
      <c r="R634" s="2"/>
      <c r="S634" s="2"/>
      <c r="X634" s="3"/>
      <c r="Y634" s="3"/>
      <c r="Z634" s="3"/>
      <c r="AD634" s="2"/>
      <c r="AE634" s="2"/>
      <c r="AF634" s="2"/>
    </row>
    <row r="635" spans="1:32" ht="15.75">
      <c r="A635" s="1"/>
      <c r="R635" s="2"/>
      <c r="S635" s="2"/>
      <c r="X635" s="3"/>
      <c r="Y635" s="3"/>
      <c r="Z635" s="3"/>
      <c r="AD635" s="2"/>
      <c r="AE635" s="2"/>
      <c r="AF635" s="2"/>
    </row>
    <row r="636" spans="1:32" ht="15.75">
      <c r="A636" s="1"/>
      <c r="R636" s="2"/>
      <c r="S636" s="2"/>
      <c r="X636" s="3"/>
      <c r="Y636" s="3"/>
      <c r="Z636" s="3"/>
      <c r="AD636" s="2"/>
      <c r="AE636" s="2"/>
      <c r="AF636" s="2"/>
    </row>
    <row r="637" spans="1:32" ht="15.75">
      <c r="A637" s="1"/>
      <c r="R637" s="2"/>
      <c r="S637" s="2"/>
      <c r="X637" s="3"/>
      <c r="Y637" s="3"/>
      <c r="Z637" s="3"/>
      <c r="AD637" s="2"/>
      <c r="AE637" s="2"/>
      <c r="AF637" s="2"/>
    </row>
    <row r="638" spans="1:32" ht="15.75">
      <c r="A638" s="1"/>
      <c r="R638" s="2"/>
      <c r="S638" s="2"/>
      <c r="X638" s="3"/>
      <c r="Y638" s="3"/>
      <c r="Z638" s="3"/>
      <c r="AD638" s="2"/>
      <c r="AE638" s="2"/>
      <c r="AF638" s="2"/>
    </row>
    <row r="639" spans="1:32" ht="15.75">
      <c r="A639" s="1"/>
      <c r="R639" s="2"/>
      <c r="S639" s="2"/>
      <c r="X639" s="3"/>
      <c r="Y639" s="3"/>
      <c r="Z639" s="3"/>
      <c r="AD639" s="2"/>
      <c r="AE639" s="2"/>
      <c r="AF639" s="2"/>
    </row>
    <row r="640" spans="1:32" ht="15.75">
      <c r="A640" s="1"/>
      <c r="R640" s="2"/>
      <c r="S640" s="2"/>
      <c r="X640" s="3"/>
      <c r="Y640" s="3"/>
      <c r="Z640" s="3"/>
      <c r="AD640" s="2"/>
      <c r="AE640" s="2"/>
      <c r="AF640" s="2"/>
    </row>
    <row r="641" spans="1:32" ht="15.75">
      <c r="A641" s="1"/>
      <c r="R641" s="2"/>
      <c r="S641" s="2"/>
      <c r="X641" s="3"/>
      <c r="Y641" s="3"/>
      <c r="Z641" s="3"/>
      <c r="AD641" s="2"/>
      <c r="AE641" s="2"/>
      <c r="AF641" s="2"/>
    </row>
    <row r="642" spans="1:32" ht="15.75">
      <c r="A642" s="1"/>
      <c r="R642" s="2"/>
      <c r="S642" s="2"/>
      <c r="X642" s="3"/>
      <c r="Y642" s="3"/>
      <c r="Z642" s="3"/>
      <c r="AD642" s="2"/>
      <c r="AE642" s="2"/>
      <c r="AF642" s="2"/>
    </row>
    <row r="643" spans="1:32" ht="15.75">
      <c r="A643" s="1"/>
      <c r="R643" s="2"/>
      <c r="S643" s="2"/>
      <c r="X643" s="3"/>
      <c r="Y643" s="3"/>
      <c r="Z643" s="3"/>
      <c r="AD643" s="2"/>
      <c r="AE643" s="2"/>
      <c r="AF643" s="2"/>
    </row>
    <row r="644" spans="1:32" ht="15.75">
      <c r="A644" s="1"/>
      <c r="R644" s="2"/>
      <c r="S644" s="2"/>
      <c r="X644" s="3"/>
      <c r="Y644" s="3"/>
      <c r="Z644" s="3"/>
      <c r="AD644" s="2"/>
      <c r="AE644" s="2"/>
      <c r="AF644" s="2"/>
    </row>
    <row r="645" spans="1:32" ht="15.75">
      <c r="A645" s="1"/>
      <c r="R645" s="2"/>
      <c r="S645" s="2"/>
      <c r="X645" s="3"/>
      <c r="Y645" s="3"/>
      <c r="Z645" s="3"/>
      <c r="AD645" s="2"/>
      <c r="AE645" s="2"/>
      <c r="AF645" s="2"/>
    </row>
    <row r="646" spans="1:32" ht="15.75">
      <c r="A646" s="1"/>
      <c r="R646" s="2"/>
      <c r="S646" s="2"/>
      <c r="X646" s="3"/>
      <c r="Y646" s="3"/>
      <c r="Z646" s="3"/>
      <c r="AD646" s="2"/>
      <c r="AE646" s="2"/>
      <c r="AF646" s="2"/>
    </row>
    <row r="647" spans="1:32" ht="15.75">
      <c r="A647" s="1"/>
      <c r="R647" s="2"/>
      <c r="S647" s="2"/>
      <c r="X647" s="3"/>
      <c r="Y647" s="3"/>
      <c r="Z647" s="3"/>
      <c r="AD647" s="2"/>
      <c r="AE647" s="2"/>
      <c r="AF647" s="2"/>
    </row>
    <row r="648" spans="1:32" ht="15.75">
      <c r="A648" s="1"/>
      <c r="R648" s="2"/>
      <c r="S648" s="2"/>
      <c r="X648" s="3"/>
      <c r="Y648" s="3"/>
      <c r="Z648" s="3"/>
      <c r="AD648" s="2"/>
      <c r="AE648" s="2"/>
      <c r="AF648" s="2"/>
    </row>
    <row r="649" spans="1:32" ht="15.75">
      <c r="A649" s="1"/>
      <c r="R649" s="2"/>
      <c r="S649" s="2"/>
      <c r="X649" s="3"/>
      <c r="Y649" s="3"/>
      <c r="Z649" s="3"/>
      <c r="AD649" s="2"/>
      <c r="AE649" s="2"/>
      <c r="AF649" s="2"/>
    </row>
    <row r="650" spans="1:32" ht="15.75">
      <c r="A650" s="1"/>
      <c r="R650" s="2"/>
      <c r="S650" s="2"/>
      <c r="X650" s="3"/>
      <c r="Y650" s="3"/>
      <c r="Z650" s="3"/>
      <c r="AD650" s="2"/>
      <c r="AE650" s="2"/>
      <c r="AF650" s="2"/>
    </row>
    <row r="651" spans="1:32" ht="15.75">
      <c r="A651" s="1"/>
      <c r="R651" s="2"/>
      <c r="S651" s="2"/>
      <c r="X651" s="3"/>
      <c r="Y651" s="3"/>
      <c r="Z651" s="3"/>
      <c r="AD651" s="2"/>
      <c r="AE651" s="2"/>
      <c r="AF651" s="2"/>
    </row>
    <row r="652" spans="1:32" ht="15.75">
      <c r="A652" s="1"/>
      <c r="R652" s="2"/>
      <c r="S652" s="2"/>
      <c r="X652" s="3"/>
      <c r="Y652" s="3"/>
      <c r="Z652" s="3"/>
      <c r="AD652" s="2"/>
      <c r="AE652" s="2"/>
      <c r="AF652" s="2"/>
    </row>
    <row r="653" spans="1:32" ht="15.75">
      <c r="A653" s="1"/>
      <c r="R653" s="2"/>
      <c r="S653" s="2"/>
      <c r="X653" s="3"/>
      <c r="Y653" s="3"/>
      <c r="Z653" s="3"/>
      <c r="AD653" s="2"/>
      <c r="AE653" s="2"/>
      <c r="AF653" s="2"/>
    </row>
    <row r="654" spans="1:32" ht="15.75">
      <c r="A654" s="1"/>
      <c r="R654" s="2"/>
      <c r="S654" s="2"/>
      <c r="X654" s="3"/>
      <c r="Y654" s="3"/>
      <c r="Z654" s="3"/>
      <c r="AD654" s="2"/>
      <c r="AE654" s="2"/>
      <c r="AF654" s="2"/>
    </row>
    <row r="655" spans="1:32" ht="15.75">
      <c r="A655" s="1"/>
      <c r="R655" s="2"/>
      <c r="S655" s="2"/>
      <c r="X655" s="3"/>
      <c r="Y655" s="3"/>
      <c r="Z655" s="3"/>
      <c r="AD655" s="2"/>
      <c r="AE655" s="2"/>
      <c r="AF655" s="2"/>
    </row>
    <row r="656" spans="1:32" ht="15.75">
      <c r="A656" s="1"/>
      <c r="R656" s="2"/>
      <c r="S656" s="2"/>
      <c r="X656" s="3"/>
      <c r="Y656" s="3"/>
      <c r="Z656" s="3"/>
      <c r="AD656" s="2"/>
      <c r="AE656" s="2"/>
      <c r="AF656" s="2"/>
    </row>
    <row r="657" spans="1:32" ht="15.75">
      <c r="A657" s="1"/>
      <c r="R657" s="2"/>
      <c r="S657" s="2"/>
      <c r="X657" s="3"/>
      <c r="Y657" s="3"/>
      <c r="Z657" s="3"/>
      <c r="AD657" s="2"/>
      <c r="AE657" s="2"/>
      <c r="AF657" s="2"/>
    </row>
    <row r="658" spans="1:32" ht="15.75">
      <c r="A658" s="1"/>
      <c r="R658" s="2"/>
      <c r="S658" s="2"/>
      <c r="X658" s="3"/>
      <c r="Y658" s="3"/>
      <c r="Z658" s="3"/>
      <c r="AD658" s="2"/>
      <c r="AE658" s="2"/>
      <c r="AF658" s="2"/>
    </row>
    <row r="659" spans="1:32" ht="15.75">
      <c r="A659" s="1"/>
      <c r="R659" s="2"/>
      <c r="S659" s="2"/>
      <c r="X659" s="3"/>
      <c r="Y659" s="3"/>
      <c r="Z659" s="3"/>
      <c r="AD659" s="2"/>
      <c r="AE659" s="2"/>
      <c r="AF659" s="2"/>
    </row>
    <row r="660" spans="1:32" ht="15.75">
      <c r="A660" s="1"/>
      <c r="R660" s="2"/>
      <c r="S660" s="2"/>
      <c r="X660" s="3"/>
      <c r="Y660" s="3"/>
      <c r="Z660" s="3"/>
      <c r="AD660" s="2"/>
      <c r="AE660" s="2"/>
      <c r="AF660" s="2"/>
    </row>
    <row r="661" spans="1:32" ht="15.75">
      <c r="A661" s="1"/>
      <c r="R661" s="2"/>
      <c r="S661" s="2"/>
      <c r="X661" s="3"/>
      <c r="Y661" s="3"/>
      <c r="Z661" s="3"/>
      <c r="AD661" s="2"/>
      <c r="AE661" s="2"/>
      <c r="AF661" s="2"/>
    </row>
    <row r="662" spans="1:32" ht="15.75">
      <c r="A662" s="1"/>
      <c r="R662" s="2"/>
      <c r="S662" s="2"/>
      <c r="X662" s="3"/>
      <c r="Y662" s="3"/>
      <c r="Z662" s="3"/>
      <c r="AD662" s="2"/>
      <c r="AE662" s="2"/>
      <c r="AF662" s="2"/>
    </row>
    <row r="663" spans="1:32" ht="15.75">
      <c r="A663" s="1"/>
      <c r="R663" s="2"/>
      <c r="S663" s="2"/>
      <c r="X663" s="3"/>
      <c r="Y663" s="3"/>
      <c r="Z663" s="3"/>
      <c r="AD663" s="2"/>
      <c r="AE663" s="2"/>
      <c r="AF663" s="2"/>
    </row>
    <row r="664" spans="1:32" ht="15.75">
      <c r="A664" s="1"/>
      <c r="R664" s="2"/>
      <c r="S664" s="2"/>
      <c r="X664" s="3"/>
      <c r="Y664" s="3"/>
      <c r="Z664" s="3"/>
      <c r="AD664" s="2"/>
      <c r="AE664" s="2"/>
      <c r="AF664" s="2"/>
    </row>
    <row r="665" spans="1:32" ht="15.75">
      <c r="A665" s="1"/>
      <c r="R665" s="2"/>
      <c r="S665" s="2"/>
      <c r="X665" s="3"/>
      <c r="Y665" s="3"/>
      <c r="Z665" s="3"/>
      <c r="AD665" s="2"/>
      <c r="AE665" s="2"/>
      <c r="AF665" s="2"/>
    </row>
    <row r="666" spans="1:32" ht="15.75">
      <c r="A666" s="1"/>
      <c r="R666" s="2"/>
      <c r="S666" s="2"/>
      <c r="X666" s="3"/>
      <c r="Y666" s="3"/>
      <c r="Z666" s="3"/>
      <c r="AD666" s="2"/>
      <c r="AE666" s="2"/>
      <c r="AF666" s="2"/>
    </row>
    <row r="667" spans="1:32" ht="15.75">
      <c r="A667" s="1"/>
      <c r="R667" s="2"/>
      <c r="S667" s="2"/>
      <c r="X667" s="3"/>
      <c r="Y667" s="3"/>
      <c r="Z667" s="3"/>
      <c r="AD667" s="2"/>
      <c r="AE667" s="2"/>
      <c r="AF667" s="2"/>
    </row>
    <row r="668" spans="1:32" ht="15.75">
      <c r="A668" s="1"/>
      <c r="R668" s="2"/>
      <c r="S668" s="2"/>
      <c r="X668" s="3"/>
      <c r="Y668" s="3"/>
      <c r="Z668" s="3"/>
      <c r="AD668" s="2"/>
      <c r="AE668" s="2"/>
      <c r="AF668" s="2"/>
    </row>
    <row r="669" spans="1:32" ht="15.75">
      <c r="A669" s="1"/>
      <c r="R669" s="2"/>
      <c r="S669" s="2"/>
      <c r="X669" s="3"/>
      <c r="Y669" s="3"/>
      <c r="Z669" s="3"/>
      <c r="AD669" s="2"/>
      <c r="AE669" s="2"/>
      <c r="AF669" s="2"/>
    </row>
    <row r="670" spans="1:32" ht="15.75">
      <c r="A670" s="1"/>
      <c r="R670" s="2"/>
      <c r="S670" s="2"/>
      <c r="X670" s="3"/>
      <c r="Y670" s="3"/>
      <c r="Z670" s="3"/>
      <c r="AD670" s="2"/>
      <c r="AE670" s="2"/>
      <c r="AF670" s="2"/>
    </row>
    <row r="671" spans="1:32" ht="15.75">
      <c r="A671" s="1"/>
      <c r="R671" s="2"/>
      <c r="S671" s="2"/>
      <c r="X671" s="3"/>
      <c r="Y671" s="3"/>
      <c r="Z671" s="3"/>
      <c r="AD671" s="2"/>
      <c r="AE671" s="2"/>
      <c r="AF671" s="2"/>
    </row>
    <row r="672" spans="1:32" ht="15.75">
      <c r="A672" s="1"/>
      <c r="R672" s="2"/>
      <c r="S672" s="2"/>
      <c r="X672" s="3"/>
      <c r="Y672" s="3"/>
      <c r="Z672" s="3"/>
      <c r="AD672" s="2"/>
      <c r="AE672" s="2"/>
      <c r="AF672" s="2"/>
    </row>
    <row r="673" spans="1:32" ht="15.75">
      <c r="A673" s="1"/>
      <c r="R673" s="2"/>
      <c r="S673" s="2"/>
      <c r="X673" s="3"/>
      <c r="Y673" s="3"/>
      <c r="Z673" s="3"/>
      <c r="AD673" s="2"/>
      <c r="AE673" s="2"/>
      <c r="AF673" s="2"/>
    </row>
    <row r="674" spans="1:32" ht="15.75">
      <c r="A674" s="1"/>
      <c r="R674" s="2"/>
      <c r="S674" s="2"/>
      <c r="X674" s="3"/>
      <c r="Y674" s="3"/>
      <c r="Z674" s="3"/>
      <c r="AD674" s="2"/>
      <c r="AE674" s="2"/>
      <c r="AF674" s="2"/>
    </row>
    <row r="675" spans="1:32" ht="15.75">
      <c r="A675" s="1"/>
      <c r="R675" s="2"/>
      <c r="S675" s="2"/>
      <c r="X675" s="3"/>
      <c r="Y675" s="3"/>
      <c r="Z675" s="3"/>
      <c r="AD675" s="2"/>
      <c r="AE675" s="2"/>
      <c r="AF675" s="2"/>
    </row>
    <row r="676" spans="1:32" ht="15.75">
      <c r="A676" s="1"/>
      <c r="R676" s="2"/>
      <c r="S676" s="2"/>
      <c r="X676" s="3"/>
      <c r="Y676" s="3"/>
      <c r="Z676" s="3"/>
      <c r="AD676" s="2"/>
      <c r="AE676" s="2"/>
      <c r="AF676" s="2"/>
    </row>
    <row r="677" spans="1:32" ht="15.75">
      <c r="A677" s="1"/>
      <c r="R677" s="2"/>
      <c r="S677" s="2"/>
      <c r="X677" s="3"/>
      <c r="Y677" s="3"/>
      <c r="Z677" s="3"/>
      <c r="AD677" s="2"/>
      <c r="AE677" s="2"/>
      <c r="AF677" s="2"/>
    </row>
    <row r="678" spans="1:32" ht="15.75">
      <c r="A678" s="1"/>
      <c r="R678" s="2"/>
      <c r="S678" s="2"/>
      <c r="X678" s="3"/>
      <c r="Y678" s="3"/>
      <c r="Z678" s="3"/>
      <c r="AD678" s="2"/>
      <c r="AE678" s="2"/>
      <c r="AF678" s="2"/>
    </row>
    <row r="679" spans="1:32" ht="15.75">
      <c r="A679" s="1"/>
      <c r="R679" s="2"/>
      <c r="S679" s="2"/>
      <c r="X679" s="3"/>
      <c r="Y679" s="3"/>
      <c r="Z679" s="3"/>
      <c r="AD679" s="2"/>
      <c r="AE679" s="2"/>
      <c r="AF679" s="2"/>
    </row>
    <row r="680" spans="1:32" ht="15.75">
      <c r="A680" s="1"/>
      <c r="R680" s="2"/>
      <c r="S680" s="2"/>
      <c r="X680" s="3"/>
      <c r="Y680" s="3"/>
      <c r="Z680" s="3"/>
      <c r="AD680" s="2"/>
      <c r="AE680" s="2"/>
      <c r="AF680" s="2"/>
    </row>
    <row r="681" spans="1:32" ht="15.75">
      <c r="A681" s="1"/>
      <c r="R681" s="2"/>
      <c r="S681" s="2"/>
      <c r="X681" s="3"/>
      <c r="Y681" s="3"/>
      <c r="Z681" s="3"/>
      <c r="AD681" s="2"/>
      <c r="AE681" s="2"/>
      <c r="AF681" s="2"/>
    </row>
    <row r="682" spans="1:32" ht="15.75">
      <c r="A682" s="1"/>
      <c r="R682" s="2"/>
      <c r="S682" s="2"/>
      <c r="X682" s="3"/>
      <c r="Y682" s="3"/>
      <c r="Z682" s="3"/>
      <c r="AD682" s="2"/>
      <c r="AE682" s="2"/>
      <c r="AF682" s="2"/>
    </row>
    <row r="683" spans="1:32" ht="15.75">
      <c r="A683" s="1"/>
      <c r="R683" s="2"/>
      <c r="S683" s="2"/>
      <c r="X683" s="3"/>
      <c r="Y683" s="3"/>
      <c r="Z683" s="3"/>
      <c r="AD683" s="2"/>
      <c r="AE683" s="2"/>
      <c r="AF683" s="2"/>
    </row>
    <row r="684" spans="1:32" ht="15.75">
      <c r="A684" s="1"/>
      <c r="R684" s="2"/>
      <c r="S684" s="2"/>
      <c r="X684" s="3"/>
      <c r="Y684" s="3"/>
      <c r="Z684" s="3"/>
      <c r="AD684" s="2"/>
      <c r="AE684" s="2"/>
      <c r="AF684" s="2"/>
    </row>
    <row r="685" spans="1:32" ht="15.75">
      <c r="A685" s="1"/>
      <c r="R685" s="2"/>
      <c r="S685" s="2"/>
      <c r="X685" s="3"/>
      <c r="Y685" s="3"/>
      <c r="Z685" s="3"/>
      <c r="AD685" s="2"/>
      <c r="AE685" s="2"/>
      <c r="AF685" s="2"/>
    </row>
    <row r="686" spans="1:32" ht="15.75">
      <c r="A686" s="1"/>
      <c r="R686" s="2"/>
      <c r="S686" s="2"/>
      <c r="X686" s="3"/>
      <c r="Y686" s="3"/>
      <c r="Z686" s="3"/>
      <c r="AD686" s="2"/>
      <c r="AE686" s="2"/>
      <c r="AF686" s="2"/>
    </row>
    <row r="687" spans="1:32" ht="15.75">
      <c r="A687" s="1"/>
      <c r="R687" s="2"/>
      <c r="S687" s="2"/>
      <c r="X687" s="3"/>
      <c r="Y687" s="3"/>
      <c r="Z687" s="3"/>
      <c r="AD687" s="2"/>
      <c r="AE687" s="2"/>
      <c r="AF687" s="2"/>
    </row>
    <row r="688" spans="1:32" ht="15.75">
      <c r="A688" s="1"/>
      <c r="R688" s="2"/>
      <c r="S688" s="2"/>
      <c r="X688" s="3"/>
      <c r="Y688" s="3"/>
      <c r="Z688" s="3"/>
      <c r="AD688" s="2"/>
      <c r="AE688" s="2"/>
      <c r="AF688" s="2"/>
    </row>
    <row r="689" spans="1:32" ht="15.75">
      <c r="A689" s="1"/>
      <c r="R689" s="2"/>
      <c r="S689" s="2"/>
      <c r="X689" s="3"/>
      <c r="Y689" s="3"/>
      <c r="Z689" s="3"/>
      <c r="AD689" s="2"/>
      <c r="AE689" s="2"/>
      <c r="AF689" s="2"/>
    </row>
    <row r="690" spans="1:32" ht="15.75">
      <c r="A690" s="1"/>
      <c r="R690" s="2"/>
      <c r="S690" s="2"/>
      <c r="X690" s="3"/>
      <c r="Y690" s="3"/>
      <c r="Z690" s="3"/>
      <c r="AD690" s="2"/>
      <c r="AE690" s="2"/>
      <c r="AF690" s="2"/>
    </row>
    <row r="691" spans="1:32" ht="15.75">
      <c r="A691" s="1"/>
      <c r="R691" s="2"/>
      <c r="S691" s="2"/>
      <c r="X691" s="3"/>
      <c r="Y691" s="3"/>
      <c r="Z691" s="3"/>
      <c r="AD691" s="2"/>
      <c r="AE691" s="2"/>
      <c r="AF691" s="2"/>
    </row>
    <row r="692" spans="1:32" ht="15.75">
      <c r="A692" s="1"/>
      <c r="R692" s="2"/>
      <c r="S692" s="2"/>
      <c r="X692" s="3"/>
      <c r="Y692" s="3"/>
      <c r="Z692" s="3"/>
      <c r="AD692" s="2"/>
      <c r="AE692" s="2"/>
      <c r="AF692" s="2"/>
    </row>
    <row r="693" spans="1:32" ht="15.75">
      <c r="A693" s="1"/>
      <c r="R693" s="2"/>
      <c r="S693" s="2"/>
      <c r="X693" s="3"/>
      <c r="Y693" s="3"/>
      <c r="Z693" s="3"/>
      <c r="AD693" s="2"/>
      <c r="AE693" s="2"/>
      <c r="AF693" s="2"/>
    </row>
    <row r="694" spans="1:32" ht="15.75">
      <c r="A694" s="1"/>
      <c r="R694" s="2"/>
      <c r="S694" s="2"/>
      <c r="X694" s="3"/>
      <c r="Y694" s="3"/>
      <c r="Z694" s="3"/>
      <c r="AD694" s="2"/>
      <c r="AE694" s="2"/>
      <c r="AF694" s="2"/>
    </row>
    <row r="695" spans="1:32" ht="15.75">
      <c r="A695" s="1"/>
      <c r="R695" s="2"/>
      <c r="S695" s="2"/>
      <c r="X695" s="3"/>
      <c r="Y695" s="3"/>
      <c r="Z695" s="3"/>
      <c r="AD695" s="2"/>
      <c r="AE695" s="2"/>
      <c r="AF695" s="2"/>
    </row>
    <row r="696" spans="1:32" ht="15.75">
      <c r="A696" s="1"/>
      <c r="R696" s="2"/>
      <c r="S696" s="2"/>
      <c r="X696" s="3"/>
      <c r="Y696" s="3"/>
      <c r="Z696" s="3"/>
      <c r="AD696" s="2"/>
      <c r="AE696" s="2"/>
      <c r="AF696" s="2"/>
    </row>
    <row r="697" spans="1:32" ht="15.75">
      <c r="A697" s="1"/>
      <c r="R697" s="2"/>
      <c r="S697" s="2"/>
      <c r="X697" s="3"/>
      <c r="Y697" s="3"/>
      <c r="Z697" s="3"/>
      <c r="AD697" s="2"/>
      <c r="AE697" s="2"/>
      <c r="AF697" s="2"/>
    </row>
    <row r="698" spans="1:32" ht="15.75">
      <c r="A698" s="1"/>
      <c r="R698" s="2"/>
      <c r="S698" s="2"/>
      <c r="X698" s="3"/>
      <c r="Y698" s="3"/>
      <c r="Z698" s="3"/>
      <c r="AD698" s="2"/>
      <c r="AE698" s="2"/>
      <c r="AF698" s="2"/>
    </row>
    <row r="699" spans="1:32" ht="15.75">
      <c r="A699" s="1"/>
      <c r="R699" s="2"/>
      <c r="S699" s="2"/>
      <c r="X699" s="3"/>
      <c r="Y699" s="3"/>
      <c r="Z699" s="3"/>
      <c r="AD699" s="2"/>
      <c r="AE699" s="2"/>
      <c r="AF699" s="2"/>
    </row>
    <row r="700" spans="1:32" ht="15.75">
      <c r="A700" s="1"/>
      <c r="R700" s="2"/>
      <c r="S700" s="2"/>
      <c r="X700" s="3"/>
      <c r="Y700" s="3"/>
      <c r="Z700" s="3"/>
      <c r="AD700" s="2"/>
      <c r="AE700" s="2"/>
      <c r="AF700" s="2"/>
    </row>
    <row r="701" spans="1:32" ht="15.75">
      <c r="A701" s="1"/>
      <c r="R701" s="2"/>
      <c r="S701" s="2"/>
      <c r="X701" s="3"/>
      <c r="Y701" s="3"/>
      <c r="Z701" s="3"/>
      <c r="AD701" s="2"/>
      <c r="AE701" s="2"/>
      <c r="AF701" s="2"/>
    </row>
    <row r="702" spans="1:32" ht="15.75">
      <c r="A702" s="1"/>
      <c r="R702" s="2"/>
      <c r="S702" s="2"/>
      <c r="X702" s="3"/>
      <c r="Y702" s="3"/>
      <c r="Z702" s="3"/>
      <c r="AD702" s="2"/>
      <c r="AE702" s="2"/>
      <c r="AF702" s="2"/>
    </row>
    <row r="703" spans="1:32" ht="15.75">
      <c r="A703" s="1"/>
      <c r="R703" s="2"/>
      <c r="S703" s="2"/>
      <c r="X703" s="3"/>
      <c r="Y703" s="3"/>
      <c r="Z703" s="3"/>
      <c r="AD703" s="2"/>
      <c r="AE703" s="2"/>
      <c r="AF703" s="2"/>
    </row>
    <row r="704" spans="1:32" ht="15.75">
      <c r="A704" s="1"/>
      <c r="R704" s="2"/>
      <c r="S704" s="2"/>
      <c r="X704" s="3"/>
      <c r="Y704" s="3"/>
      <c r="Z704" s="3"/>
      <c r="AD704" s="2"/>
      <c r="AE704" s="2"/>
      <c r="AF704" s="2"/>
    </row>
    <row r="705" spans="1:32" ht="15.75">
      <c r="A705" s="1"/>
      <c r="R705" s="2"/>
      <c r="S705" s="2"/>
      <c r="X705" s="3"/>
      <c r="Y705" s="3"/>
      <c r="Z705" s="3"/>
      <c r="AD705" s="2"/>
      <c r="AE705" s="2"/>
      <c r="AF705" s="2"/>
    </row>
    <row r="706" spans="1:32" ht="15.75">
      <c r="A706" s="1"/>
      <c r="R706" s="2"/>
      <c r="S706" s="2"/>
      <c r="X706" s="3"/>
      <c r="Y706" s="3"/>
      <c r="Z706" s="3"/>
      <c r="AD706" s="2"/>
      <c r="AE706" s="2"/>
      <c r="AF706" s="2"/>
    </row>
    <row r="707" spans="1:32" ht="15.75">
      <c r="A707" s="1"/>
      <c r="R707" s="2"/>
      <c r="S707" s="2"/>
      <c r="X707" s="3"/>
      <c r="Y707" s="3"/>
      <c r="Z707" s="3"/>
      <c r="AD707" s="2"/>
      <c r="AE707" s="2"/>
      <c r="AF707" s="2"/>
    </row>
    <row r="708" spans="1:32" ht="15.75">
      <c r="A708" s="1"/>
      <c r="R708" s="2"/>
      <c r="S708" s="2"/>
      <c r="X708" s="3"/>
      <c r="Y708" s="3"/>
      <c r="Z708" s="3"/>
      <c r="AD708" s="2"/>
      <c r="AE708" s="2"/>
      <c r="AF708" s="2"/>
    </row>
    <row r="709" spans="1:32" ht="15.75">
      <c r="A709" s="1"/>
      <c r="R709" s="2"/>
      <c r="S709" s="2"/>
      <c r="X709" s="3"/>
      <c r="Y709" s="3"/>
      <c r="Z709" s="3"/>
      <c r="AD709" s="2"/>
      <c r="AE709" s="2"/>
      <c r="AF709" s="2"/>
    </row>
    <row r="710" spans="1:32" ht="15.75">
      <c r="A710" s="1"/>
      <c r="R710" s="2"/>
      <c r="S710" s="2"/>
      <c r="X710" s="3"/>
      <c r="Y710" s="3"/>
      <c r="Z710" s="3"/>
      <c r="AD710" s="2"/>
      <c r="AE710" s="2"/>
      <c r="AF710" s="2"/>
    </row>
    <row r="711" spans="1:32" ht="15.75">
      <c r="A711" s="1"/>
      <c r="R711" s="2"/>
      <c r="S711" s="2"/>
      <c r="X711" s="3"/>
      <c r="Y711" s="3"/>
      <c r="Z711" s="3"/>
      <c r="AD711" s="2"/>
      <c r="AE711" s="2"/>
      <c r="AF711" s="2"/>
    </row>
    <row r="712" spans="1:32" ht="15.75">
      <c r="A712" s="1"/>
      <c r="R712" s="2"/>
      <c r="S712" s="2"/>
      <c r="X712" s="3"/>
      <c r="Y712" s="3"/>
      <c r="Z712" s="3"/>
      <c r="AD712" s="2"/>
      <c r="AE712" s="2"/>
      <c r="AF712" s="2"/>
    </row>
    <row r="713" spans="1:32" ht="15.75">
      <c r="A713" s="1"/>
      <c r="R713" s="2"/>
      <c r="S713" s="2"/>
      <c r="X713" s="3"/>
      <c r="Y713" s="3"/>
      <c r="Z713" s="3"/>
      <c r="AD713" s="2"/>
      <c r="AE713" s="2"/>
      <c r="AF713" s="2"/>
    </row>
    <row r="714" spans="1:32" ht="15.75">
      <c r="A714" s="1"/>
      <c r="R714" s="2"/>
      <c r="S714" s="2"/>
      <c r="X714" s="3"/>
      <c r="Y714" s="3"/>
      <c r="Z714" s="3"/>
      <c r="AD714" s="2"/>
      <c r="AE714" s="2"/>
      <c r="AF714" s="2"/>
    </row>
    <row r="715" spans="1:32" ht="15.75">
      <c r="A715" s="1"/>
      <c r="R715" s="2"/>
      <c r="S715" s="2"/>
      <c r="X715" s="3"/>
      <c r="Y715" s="3"/>
      <c r="Z715" s="3"/>
      <c r="AD715" s="2"/>
      <c r="AE715" s="2"/>
      <c r="AF715" s="2"/>
    </row>
    <row r="716" spans="1:32" ht="15.75">
      <c r="A716" s="1"/>
      <c r="R716" s="2"/>
      <c r="S716" s="2"/>
      <c r="X716" s="3"/>
      <c r="Y716" s="3"/>
      <c r="Z716" s="3"/>
      <c r="AD716" s="2"/>
      <c r="AE716" s="2"/>
      <c r="AF716" s="2"/>
    </row>
    <row r="717" spans="1:32" ht="15.75">
      <c r="A717" s="1"/>
      <c r="R717" s="2"/>
      <c r="S717" s="2"/>
      <c r="X717" s="3"/>
      <c r="Y717" s="3"/>
      <c r="Z717" s="3"/>
      <c r="AD717" s="2"/>
      <c r="AE717" s="2"/>
      <c r="AF717" s="2"/>
    </row>
    <row r="718" spans="1:32" ht="15.75">
      <c r="A718" s="1"/>
      <c r="R718" s="2"/>
      <c r="S718" s="2"/>
      <c r="X718" s="3"/>
      <c r="Y718" s="3"/>
      <c r="Z718" s="3"/>
      <c r="AD718" s="2"/>
      <c r="AE718" s="2"/>
      <c r="AF718" s="2"/>
    </row>
    <row r="719" spans="1:32" ht="15.75">
      <c r="A719" s="1"/>
      <c r="R719" s="2"/>
      <c r="S719" s="2"/>
      <c r="X719" s="3"/>
      <c r="Y719" s="3"/>
      <c r="Z719" s="3"/>
      <c r="AD719" s="2"/>
      <c r="AE719" s="2"/>
      <c r="AF719" s="2"/>
    </row>
    <row r="720" spans="1:32" ht="15.75">
      <c r="A720" s="1"/>
      <c r="R720" s="2"/>
      <c r="S720" s="2"/>
      <c r="X720" s="3"/>
      <c r="Y720" s="3"/>
      <c r="Z720" s="3"/>
      <c r="AD720" s="2"/>
      <c r="AE720" s="2"/>
      <c r="AF720" s="2"/>
    </row>
    <row r="721" spans="1:32" ht="15.75">
      <c r="A721" s="1"/>
      <c r="R721" s="2"/>
      <c r="S721" s="2"/>
      <c r="X721" s="3"/>
      <c r="Y721" s="3"/>
      <c r="Z721" s="3"/>
      <c r="AD721" s="2"/>
      <c r="AE721" s="2"/>
      <c r="AF721" s="2"/>
    </row>
    <row r="722" spans="1:32" ht="15.75">
      <c r="A722" s="1"/>
      <c r="R722" s="2"/>
      <c r="S722" s="2"/>
      <c r="X722" s="3"/>
      <c r="Y722" s="3"/>
      <c r="Z722" s="3"/>
      <c r="AD722" s="2"/>
      <c r="AE722" s="2"/>
      <c r="AF722" s="2"/>
    </row>
    <row r="723" spans="1:32" ht="15.75">
      <c r="A723" s="1"/>
      <c r="R723" s="2"/>
      <c r="S723" s="2"/>
      <c r="X723" s="3"/>
      <c r="Y723" s="3"/>
      <c r="Z723" s="3"/>
      <c r="AD723" s="2"/>
      <c r="AE723" s="2"/>
      <c r="AF723" s="2"/>
    </row>
    <row r="724" spans="1:32" ht="15.75">
      <c r="A724" s="1"/>
      <c r="R724" s="2"/>
      <c r="S724" s="2"/>
      <c r="X724" s="3"/>
      <c r="Y724" s="3"/>
      <c r="Z724" s="3"/>
      <c r="AD724" s="2"/>
      <c r="AE724" s="2"/>
      <c r="AF724" s="2"/>
    </row>
    <row r="725" spans="1:32" ht="15.75">
      <c r="A725" s="1"/>
      <c r="R725" s="2"/>
      <c r="S725" s="2"/>
      <c r="X725" s="3"/>
      <c r="Y725" s="3"/>
      <c r="Z725" s="3"/>
      <c r="AD725" s="2"/>
      <c r="AE725" s="2"/>
      <c r="AF725" s="2"/>
    </row>
    <row r="726" spans="1:32" ht="15.75">
      <c r="A726" s="1"/>
      <c r="R726" s="2"/>
      <c r="S726" s="2"/>
      <c r="X726" s="3"/>
      <c r="Y726" s="3"/>
      <c r="Z726" s="3"/>
      <c r="AD726" s="2"/>
      <c r="AE726" s="2"/>
      <c r="AF726" s="2"/>
    </row>
    <row r="727" spans="1:32" ht="15.75">
      <c r="A727" s="1"/>
      <c r="R727" s="2"/>
      <c r="S727" s="2"/>
      <c r="X727" s="3"/>
      <c r="Y727" s="3"/>
      <c r="Z727" s="3"/>
      <c r="AD727" s="2"/>
      <c r="AE727" s="2"/>
      <c r="AF727" s="2"/>
    </row>
    <row r="728" spans="1:32" ht="15.75">
      <c r="A728" s="1"/>
      <c r="R728" s="2"/>
      <c r="S728" s="2"/>
      <c r="X728" s="3"/>
      <c r="Y728" s="3"/>
      <c r="Z728" s="3"/>
      <c r="AD728" s="2"/>
      <c r="AE728" s="2"/>
      <c r="AF728" s="2"/>
    </row>
    <row r="729" spans="1:32" ht="15.75">
      <c r="A729" s="1"/>
      <c r="R729" s="2"/>
      <c r="S729" s="2"/>
      <c r="X729" s="3"/>
      <c r="Y729" s="3"/>
      <c r="Z729" s="3"/>
      <c r="AD729" s="2"/>
      <c r="AE729" s="2"/>
      <c r="AF729" s="2"/>
    </row>
    <row r="730" spans="1:32" ht="15.75">
      <c r="A730" s="1"/>
      <c r="R730" s="2"/>
      <c r="S730" s="2"/>
      <c r="X730" s="3"/>
      <c r="Y730" s="3"/>
      <c r="Z730" s="3"/>
      <c r="AD730" s="2"/>
      <c r="AE730" s="2"/>
      <c r="AF730" s="2"/>
    </row>
    <row r="731" spans="1:32" ht="15.75">
      <c r="A731" s="1"/>
      <c r="R731" s="2"/>
      <c r="S731" s="2"/>
      <c r="X731" s="3"/>
      <c r="Y731" s="3"/>
      <c r="Z731" s="3"/>
      <c r="AD731" s="2"/>
      <c r="AE731" s="2"/>
      <c r="AF731" s="2"/>
    </row>
    <row r="732" spans="1:32" ht="15.75">
      <c r="A732" s="1"/>
      <c r="R732" s="2"/>
      <c r="S732" s="2"/>
      <c r="X732" s="3"/>
      <c r="Y732" s="3"/>
      <c r="Z732" s="3"/>
      <c r="AD732" s="2"/>
      <c r="AE732" s="2"/>
      <c r="AF732" s="2"/>
    </row>
    <row r="733" spans="1:32" ht="15.75">
      <c r="A733" s="1"/>
      <c r="R733" s="2"/>
      <c r="S733" s="2"/>
      <c r="X733" s="3"/>
      <c r="Y733" s="3"/>
      <c r="Z733" s="3"/>
      <c r="AD733" s="2"/>
      <c r="AE733" s="2"/>
      <c r="AF733" s="2"/>
    </row>
    <row r="734" spans="1:32" ht="15.75">
      <c r="A734" s="1"/>
      <c r="R734" s="2"/>
      <c r="S734" s="2"/>
      <c r="X734" s="3"/>
      <c r="Y734" s="3"/>
      <c r="Z734" s="3"/>
      <c r="AD734" s="2"/>
      <c r="AE734" s="2"/>
      <c r="AF734" s="2"/>
    </row>
    <row r="735" spans="1:32" ht="15.75">
      <c r="A735" s="1"/>
      <c r="R735" s="2"/>
      <c r="S735" s="2"/>
      <c r="X735" s="3"/>
      <c r="Y735" s="3"/>
      <c r="Z735" s="3"/>
      <c r="AD735" s="2"/>
      <c r="AE735" s="2"/>
      <c r="AF735" s="2"/>
    </row>
    <row r="736" spans="1:32" ht="15.75">
      <c r="A736" s="1"/>
      <c r="R736" s="2"/>
      <c r="S736" s="2"/>
      <c r="X736" s="3"/>
      <c r="Y736" s="3"/>
      <c r="Z736" s="3"/>
      <c r="AD736" s="2"/>
      <c r="AE736" s="2"/>
      <c r="AF736" s="2"/>
    </row>
    <row r="737" spans="1:32" ht="15.75">
      <c r="A737" s="1"/>
      <c r="R737" s="2"/>
      <c r="S737" s="2"/>
      <c r="X737" s="3"/>
      <c r="Y737" s="3"/>
      <c r="Z737" s="3"/>
      <c r="AD737" s="2"/>
      <c r="AE737" s="2"/>
      <c r="AF737" s="2"/>
    </row>
    <row r="738" spans="1:32" ht="15.75">
      <c r="A738" s="1"/>
      <c r="R738" s="2"/>
      <c r="S738" s="2"/>
      <c r="X738" s="3"/>
      <c r="Y738" s="3"/>
      <c r="Z738" s="3"/>
      <c r="AD738" s="2"/>
      <c r="AE738" s="2"/>
      <c r="AF738" s="2"/>
    </row>
    <row r="739" spans="1:32" ht="15.75">
      <c r="A739" s="1"/>
      <c r="R739" s="2"/>
      <c r="S739" s="2"/>
      <c r="X739" s="3"/>
      <c r="Y739" s="3"/>
      <c r="Z739" s="3"/>
      <c r="AD739" s="2"/>
      <c r="AE739" s="2"/>
      <c r="AF739" s="2"/>
    </row>
    <row r="740" spans="1:32" ht="15.75">
      <c r="A740" s="1"/>
      <c r="R740" s="2"/>
      <c r="S740" s="2"/>
      <c r="X740" s="3"/>
      <c r="Y740" s="3"/>
      <c r="Z740" s="3"/>
      <c r="AD740" s="2"/>
      <c r="AE740" s="2"/>
      <c r="AF740" s="2"/>
    </row>
    <row r="741" spans="1:32" ht="15.75">
      <c r="A741" s="1"/>
      <c r="R741" s="2"/>
      <c r="S741" s="2"/>
      <c r="X741" s="3"/>
      <c r="Y741" s="3"/>
      <c r="Z741" s="3"/>
      <c r="AD741" s="2"/>
      <c r="AE741" s="2"/>
      <c r="AF741" s="2"/>
    </row>
    <row r="742" spans="1:32" ht="15.75">
      <c r="A742" s="1"/>
      <c r="R742" s="2"/>
      <c r="S742" s="2"/>
      <c r="X742" s="3"/>
      <c r="Y742" s="3"/>
      <c r="Z742" s="3"/>
      <c r="AD742" s="2"/>
      <c r="AE742" s="2"/>
      <c r="AF742" s="2"/>
    </row>
    <row r="743" spans="1:32" ht="15.75">
      <c r="A743" s="1"/>
      <c r="R743" s="2"/>
      <c r="S743" s="2"/>
      <c r="X743" s="3"/>
      <c r="Y743" s="3"/>
      <c r="Z743" s="3"/>
      <c r="AD743" s="2"/>
      <c r="AE743" s="2"/>
      <c r="AF743" s="2"/>
    </row>
    <row r="744" spans="1:32" ht="15.75">
      <c r="A744" s="1"/>
      <c r="R744" s="2"/>
      <c r="S744" s="2"/>
      <c r="X744" s="3"/>
      <c r="Y744" s="3"/>
      <c r="Z744" s="3"/>
      <c r="AD744" s="2"/>
      <c r="AE744" s="2"/>
      <c r="AF744" s="2"/>
    </row>
    <row r="745" spans="1:32" ht="15.75">
      <c r="A745" s="1"/>
      <c r="R745" s="2"/>
      <c r="S745" s="2"/>
      <c r="X745" s="3"/>
      <c r="Y745" s="3"/>
      <c r="Z745" s="3"/>
      <c r="AD745" s="2"/>
      <c r="AE745" s="2"/>
      <c r="AF745" s="2"/>
    </row>
    <row r="746" spans="1:32" ht="15.75">
      <c r="A746" s="1"/>
      <c r="R746" s="2"/>
      <c r="S746" s="2"/>
      <c r="X746" s="3"/>
      <c r="Y746" s="3"/>
      <c r="Z746" s="3"/>
      <c r="AD746" s="2"/>
      <c r="AE746" s="2"/>
      <c r="AF746" s="2"/>
    </row>
    <row r="747" spans="1:32" ht="15.75">
      <c r="A747" s="1"/>
      <c r="R747" s="2"/>
      <c r="S747" s="2"/>
      <c r="X747" s="3"/>
      <c r="Y747" s="3"/>
      <c r="Z747" s="3"/>
      <c r="AD747" s="2"/>
      <c r="AE747" s="2"/>
      <c r="AF747" s="2"/>
    </row>
    <row r="748" spans="1:32" ht="15.75">
      <c r="A748" s="1"/>
      <c r="R748" s="2"/>
      <c r="S748" s="2"/>
      <c r="X748" s="3"/>
      <c r="Y748" s="3"/>
      <c r="Z748" s="3"/>
      <c r="AD748" s="2"/>
      <c r="AE748" s="2"/>
      <c r="AF748" s="2"/>
    </row>
    <row r="749" spans="1:32" ht="15.75">
      <c r="A749" s="1"/>
      <c r="R749" s="2"/>
      <c r="S749" s="2"/>
      <c r="X749" s="3"/>
      <c r="Y749" s="3"/>
      <c r="Z749" s="3"/>
      <c r="AD749" s="2"/>
      <c r="AE749" s="2"/>
      <c r="AF749" s="2"/>
    </row>
    <row r="750" spans="1:32" ht="15.75">
      <c r="A750" s="1"/>
      <c r="R750" s="2"/>
      <c r="S750" s="2"/>
      <c r="X750" s="3"/>
      <c r="Y750" s="3"/>
      <c r="Z750" s="3"/>
      <c r="AD750" s="2"/>
      <c r="AE750" s="2"/>
      <c r="AF750" s="2"/>
    </row>
    <row r="751" spans="1:32" ht="15.75">
      <c r="A751" s="1"/>
      <c r="R751" s="2"/>
      <c r="S751" s="2"/>
      <c r="X751" s="3"/>
      <c r="Y751" s="3"/>
      <c r="Z751" s="3"/>
      <c r="AD751" s="2"/>
      <c r="AE751" s="2"/>
      <c r="AF751" s="2"/>
    </row>
    <row r="752" spans="1:32" ht="15.75">
      <c r="A752" s="1"/>
      <c r="R752" s="2"/>
      <c r="S752" s="2"/>
      <c r="X752" s="3"/>
      <c r="Y752" s="3"/>
      <c r="Z752" s="3"/>
      <c r="AD752" s="2"/>
      <c r="AE752" s="2"/>
      <c r="AF752" s="2"/>
    </row>
    <row r="753" spans="1:32" ht="15.75">
      <c r="A753" s="1"/>
      <c r="R753" s="2"/>
      <c r="S753" s="2"/>
      <c r="X753" s="3"/>
      <c r="Y753" s="3"/>
      <c r="Z753" s="3"/>
      <c r="AD753" s="2"/>
      <c r="AE753" s="2"/>
      <c r="AF753" s="2"/>
    </row>
    <row r="754" spans="1:32" ht="15.75">
      <c r="A754" s="1"/>
      <c r="R754" s="2"/>
      <c r="S754" s="2"/>
      <c r="X754" s="3"/>
      <c r="Y754" s="3"/>
      <c r="Z754" s="3"/>
      <c r="AD754" s="2"/>
      <c r="AE754" s="2"/>
      <c r="AF754" s="2"/>
    </row>
    <row r="755" spans="1:32" ht="15.75">
      <c r="A755" s="1"/>
      <c r="R755" s="2"/>
      <c r="S755" s="2"/>
      <c r="X755" s="3"/>
      <c r="Y755" s="3"/>
      <c r="Z755" s="3"/>
      <c r="AD755" s="2"/>
      <c r="AE755" s="2"/>
      <c r="AF755" s="2"/>
    </row>
    <row r="756" spans="1:32" ht="15.75">
      <c r="A756" s="1"/>
      <c r="R756" s="2"/>
      <c r="S756" s="2"/>
      <c r="X756" s="3"/>
      <c r="Y756" s="3"/>
      <c r="Z756" s="3"/>
      <c r="AD756" s="2"/>
      <c r="AE756" s="2"/>
      <c r="AF756" s="2"/>
    </row>
    <row r="757" spans="1:32" ht="15.75">
      <c r="A757" s="1"/>
      <c r="R757" s="2"/>
      <c r="S757" s="2"/>
      <c r="X757" s="3"/>
      <c r="Y757" s="3"/>
      <c r="Z757" s="3"/>
      <c r="AD757" s="2"/>
      <c r="AE757" s="2"/>
      <c r="AF757" s="2"/>
    </row>
    <row r="758" spans="1:32" ht="15.75">
      <c r="A758" s="1"/>
      <c r="R758" s="2"/>
      <c r="S758" s="2"/>
      <c r="X758" s="3"/>
      <c r="Y758" s="3"/>
      <c r="Z758" s="3"/>
      <c r="AD758" s="2"/>
      <c r="AE758" s="2"/>
      <c r="AF758" s="2"/>
    </row>
    <row r="759" spans="1:32" ht="15.75">
      <c r="A759" s="1"/>
      <c r="R759" s="2"/>
      <c r="S759" s="2"/>
      <c r="X759" s="3"/>
      <c r="Y759" s="3"/>
      <c r="Z759" s="3"/>
      <c r="AD759" s="2"/>
      <c r="AE759" s="2"/>
      <c r="AF759" s="2"/>
    </row>
    <row r="760" spans="1:32" ht="15.75">
      <c r="A760" s="1"/>
      <c r="R760" s="2"/>
      <c r="S760" s="2"/>
      <c r="X760" s="3"/>
      <c r="Y760" s="3"/>
      <c r="Z760" s="3"/>
      <c r="AD760" s="2"/>
      <c r="AE760" s="2"/>
      <c r="AF760" s="2"/>
    </row>
    <row r="761" spans="1:32" ht="15.75">
      <c r="A761" s="1"/>
      <c r="R761" s="2"/>
      <c r="S761" s="2"/>
      <c r="X761" s="3"/>
      <c r="Y761" s="3"/>
      <c r="Z761" s="3"/>
      <c r="AD761" s="2"/>
      <c r="AE761" s="2"/>
      <c r="AF761" s="2"/>
    </row>
    <row r="762" spans="1:32" ht="15.75">
      <c r="A762" s="1"/>
      <c r="R762" s="2"/>
      <c r="S762" s="2"/>
      <c r="X762" s="3"/>
      <c r="Y762" s="3"/>
      <c r="Z762" s="3"/>
      <c r="AD762" s="2"/>
      <c r="AE762" s="2"/>
      <c r="AF762" s="2"/>
    </row>
    <row r="763" spans="1:32" ht="15.75">
      <c r="A763" s="1"/>
      <c r="R763" s="2"/>
      <c r="S763" s="2"/>
      <c r="X763" s="3"/>
      <c r="Y763" s="3"/>
      <c r="Z763" s="3"/>
      <c r="AD763" s="2"/>
      <c r="AE763" s="2"/>
      <c r="AF763" s="2"/>
    </row>
    <row r="764" spans="1:32" ht="15.75">
      <c r="A764" s="1"/>
      <c r="R764" s="2"/>
      <c r="S764" s="2"/>
      <c r="X764" s="3"/>
      <c r="Y764" s="3"/>
      <c r="Z764" s="3"/>
      <c r="AD764" s="2"/>
      <c r="AE764" s="2"/>
      <c r="AF764" s="2"/>
    </row>
    <row r="765" spans="1:32" ht="15.75">
      <c r="A765" s="1"/>
      <c r="R765" s="2"/>
      <c r="S765" s="2"/>
      <c r="X765" s="3"/>
      <c r="Y765" s="3"/>
      <c r="Z765" s="3"/>
      <c r="AD765" s="2"/>
      <c r="AE765" s="2"/>
      <c r="AF765" s="2"/>
    </row>
    <row r="766" spans="1:32" ht="15.75">
      <c r="A766" s="1"/>
      <c r="R766" s="2"/>
      <c r="S766" s="2"/>
      <c r="X766" s="3"/>
      <c r="Y766" s="3"/>
      <c r="Z766" s="3"/>
      <c r="AD766" s="2"/>
      <c r="AE766" s="2"/>
      <c r="AF766" s="2"/>
    </row>
    <row r="767" spans="1:32" ht="15.75">
      <c r="A767" s="1"/>
      <c r="R767" s="2"/>
      <c r="S767" s="2"/>
      <c r="X767" s="3"/>
      <c r="Y767" s="3"/>
      <c r="Z767" s="3"/>
      <c r="AD767" s="2"/>
      <c r="AE767" s="2"/>
      <c r="AF767" s="2"/>
    </row>
    <row r="768" spans="1:32" ht="15.75">
      <c r="A768" s="1"/>
      <c r="R768" s="2"/>
      <c r="S768" s="2"/>
      <c r="X768" s="3"/>
      <c r="Y768" s="3"/>
      <c r="Z768" s="3"/>
      <c r="AD768" s="2"/>
      <c r="AE768" s="2"/>
      <c r="AF768" s="2"/>
    </row>
    <row r="769" spans="1:32" ht="15.75">
      <c r="A769" s="1"/>
      <c r="R769" s="2"/>
      <c r="S769" s="2"/>
      <c r="X769" s="3"/>
      <c r="Y769" s="3"/>
      <c r="Z769" s="3"/>
      <c r="AD769" s="2"/>
      <c r="AE769" s="2"/>
      <c r="AF769" s="2"/>
    </row>
    <row r="770" spans="1:32" ht="15.75">
      <c r="A770" s="1"/>
      <c r="R770" s="2"/>
      <c r="S770" s="2"/>
      <c r="X770" s="3"/>
      <c r="Y770" s="3"/>
      <c r="Z770" s="3"/>
      <c r="AD770" s="2"/>
      <c r="AE770" s="2"/>
      <c r="AF770" s="2"/>
    </row>
    <row r="771" spans="1:32" ht="15.75">
      <c r="A771" s="1"/>
      <c r="R771" s="2"/>
      <c r="S771" s="2"/>
      <c r="X771" s="3"/>
      <c r="Y771" s="3"/>
      <c r="Z771" s="3"/>
      <c r="AD771" s="2"/>
      <c r="AE771" s="2"/>
      <c r="AF771" s="2"/>
    </row>
    <row r="772" spans="1:32" ht="15.75">
      <c r="A772" s="1"/>
      <c r="R772" s="2"/>
      <c r="S772" s="2"/>
      <c r="X772" s="3"/>
      <c r="Y772" s="3"/>
      <c r="Z772" s="3"/>
      <c r="AD772" s="2"/>
      <c r="AE772" s="2"/>
      <c r="AF772" s="2"/>
    </row>
    <row r="773" spans="1:32" ht="15.75">
      <c r="A773" s="1"/>
      <c r="R773" s="2"/>
      <c r="S773" s="2"/>
      <c r="X773" s="3"/>
      <c r="Y773" s="3"/>
      <c r="Z773" s="3"/>
      <c r="AD773" s="2"/>
      <c r="AE773" s="2"/>
      <c r="AF773" s="2"/>
    </row>
    <row r="774" spans="1:32" ht="15.75">
      <c r="A774" s="1"/>
      <c r="R774" s="2"/>
      <c r="S774" s="2"/>
      <c r="X774" s="3"/>
      <c r="Y774" s="3"/>
      <c r="Z774" s="3"/>
      <c r="AD774" s="2"/>
      <c r="AE774" s="2"/>
      <c r="AF774" s="2"/>
    </row>
    <row r="775" spans="1:32" ht="15.75">
      <c r="A775" s="1"/>
      <c r="R775" s="2"/>
      <c r="S775" s="2"/>
      <c r="X775" s="3"/>
      <c r="Y775" s="3"/>
      <c r="Z775" s="3"/>
      <c r="AD775" s="2"/>
      <c r="AE775" s="2"/>
      <c r="AF775" s="2"/>
    </row>
    <row r="776" spans="1:32" ht="15.75">
      <c r="A776" s="1"/>
      <c r="R776" s="2"/>
      <c r="S776" s="2"/>
      <c r="X776" s="3"/>
      <c r="Y776" s="3"/>
      <c r="Z776" s="3"/>
      <c r="AD776" s="2"/>
      <c r="AE776" s="2"/>
      <c r="AF776" s="2"/>
    </row>
    <row r="777" spans="1:32" ht="15.75">
      <c r="A777" s="1"/>
      <c r="R777" s="2"/>
      <c r="S777" s="2"/>
      <c r="X777" s="3"/>
      <c r="Y777" s="3"/>
      <c r="Z777" s="3"/>
      <c r="AD777" s="2"/>
      <c r="AE777" s="2"/>
      <c r="AF777" s="2"/>
    </row>
    <row r="778" spans="1:32" ht="15.75">
      <c r="A778" s="1"/>
      <c r="R778" s="2"/>
      <c r="S778" s="2"/>
      <c r="X778" s="3"/>
      <c r="Y778" s="3"/>
      <c r="Z778" s="3"/>
      <c r="AD778" s="2"/>
      <c r="AE778" s="2"/>
      <c r="AF778" s="2"/>
    </row>
    <row r="779" spans="1:32" ht="15.75">
      <c r="A779" s="1"/>
      <c r="R779" s="2"/>
      <c r="S779" s="2"/>
      <c r="X779" s="3"/>
      <c r="Y779" s="3"/>
      <c r="Z779" s="3"/>
      <c r="AD779" s="2"/>
      <c r="AE779" s="2"/>
      <c r="AF779" s="2"/>
    </row>
    <row r="780" spans="1:32" ht="15.75">
      <c r="A780" s="1"/>
      <c r="R780" s="2"/>
      <c r="S780" s="2"/>
      <c r="X780" s="3"/>
      <c r="Y780" s="3"/>
      <c r="Z780" s="3"/>
      <c r="AD780" s="2"/>
      <c r="AE780" s="2"/>
      <c r="AF780" s="2"/>
    </row>
    <row r="781" spans="1:32" ht="15.75">
      <c r="A781" s="1"/>
      <c r="R781" s="2"/>
      <c r="S781" s="2"/>
      <c r="X781" s="3"/>
      <c r="Y781" s="3"/>
      <c r="Z781" s="3"/>
      <c r="AD781" s="2"/>
      <c r="AE781" s="2"/>
      <c r="AF781" s="2"/>
    </row>
    <row r="782" spans="1:32" ht="15.75">
      <c r="A782" s="1"/>
      <c r="R782" s="2"/>
      <c r="S782" s="2"/>
      <c r="X782" s="3"/>
      <c r="Y782" s="3"/>
      <c r="Z782" s="3"/>
      <c r="AD782" s="2"/>
      <c r="AE782" s="2"/>
      <c r="AF782" s="2"/>
    </row>
    <row r="783" spans="1:32" ht="15.75">
      <c r="A783" s="1"/>
      <c r="R783" s="2"/>
      <c r="S783" s="2"/>
      <c r="X783" s="3"/>
      <c r="Y783" s="3"/>
      <c r="Z783" s="3"/>
      <c r="AD783" s="2"/>
      <c r="AE783" s="2"/>
      <c r="AF783" s="2"/>
    </row>
    <row r="784" spans="1:32" ht="15.75">
      <c r="A784" s="1"/>
      <c r="R784" s="2"/>
      <c r="S784" s="2"/>
      <c r="X784" s="3"/>
      <c r="Y784" s="3"/>
      <c r="Z784" s="3"/>
      <c r="AD784" s="2"/>
      <c r="AE784" s="2"/>
      <c r="AF784" s="2"/>
    </row>
    <row r="785" spans="1:32" ht="15.75">
      <c r="A785" s="1"/>
      <c r="R785" s="2"/>
      <c r="S785" s="2"/>
      <c r="X785" s="3"/>
      <c r="Y785" s="3"/>
      <c r="Z785" s="3"/>
      <c r="AD785" s="2"/>
      <c r="AE785" s="2"/>
      <c r="AF785" s="2"/>
    </row>
    <row r="786" spans="1:32" ht="15.75">
      <c r="A786" s="1"/>
      <c r="R786" s="2"/>
      <c r="S786" s="2"/>
      <c r="X786" s="3"/>
      <c r="Y786" s="3"/>
      <c r="Z786" s="3"/>
      <c r="AD786" s="2"/>
      <c r="AE786" s="2"/>
      <c r="AF786" s="2"/>
    </row>
    <row r="787" spans="1:32" ht="15.75">
      <c r="A787" s="1"/>
      <c r="R787" s="2"/>
      <c r="S787" s="2"/>
      <c r="X787" s="3"/>
      <c r="Y787" s="3"/>
      <c r="Z787" s="3"/>
      <c r="AD787" s="2"/>
      <c r="AE787" s="2"/>
      <c r="AF787" s="2"/>
    </row>
    <row r="788" spans="1:32" ht="15.75">
      <c r="A788" s="1"/>
      <c r="R788" s="2"/>
      <c r="S788" s="2"/>
      <c r="X788" s="3"/>
      <c r="Y788" s="3"/>
      <c r="Z788" s="3"/>
      <c r="AD788" s="2"/>
      <c r="AE788" s="2"/>
      <c r="AF788" s="2"/>
    </row>
    <row r="789" spans="1:32" ht="15.75">
      <c r="A789" s="1"/>
      <c r="R789" s="2"/>
      <c r="S789" s="2"/>
      <c r="X789" s="3"/>
      <c r="Y789" s="3"/>
      <c r="Z789" s="3"/>
      <c r="AD789" s="2"/>
      <c r="AE789" s="2"/>
      <c r="AF789" s="2"/>
    </row>
    <row r="790" spans="1:32" ht="15.75">
      <c r="A790" s="1"/>
      <c r="R790" s="2"/>
      <c r="S790" s="2"/>
      <c r="X790" s="3"/>
      <c r="Y790" s="3"/>
      <c r="Z790" s="3"/>
      <c r="AD790" s="2"/>
      <c r="AE790" s="2"/>
      <c r="AF790" s="2"/>
    </row>
    <row r="791" spans="1:32" ht="15.75">
      <c r="A791" s="1"/>
      <c r="R791" s="2"/>
      <c r="S791" s="2"/>
      <c r="X791" s="3"/>
      <c r="Y791" s="3"/>
      <c r="Z791" s="3"/>
      <c r="AD791" s="2"/>
      <c r="AE791" s="2"/>
      <c r="AF791" s="2"/>
    </row>
    <row r="792" spans="1:32" ht="15.75">
      <c r="A792" s="1"/>
      <c r="R792" s="2"/>
      <c r="S792" s="2"/>
      <c r="X792" s="3"/>
      <c r="Y792" s="3"/>
      <c r="Z792" s="3"/>
      <c r="AD792" s="2"/>
      <c r="AE792" s="2"/>
      <c r="AF792" s="2"/>
    </row>
    <row r="793" spans="1:32" ht="15.75">
      <c r="A793" s="1"/>
      <c r="R793" s="2"/>
      <c r="S793" s="2"/>
      <c r="X793" s="3"/>
      <c r="Y793" s="3"/>
      <c r="Z793" s="3"/>
      <c r="AD793" s="2"/>
      <c r="AE793" s="2"/>
      <c r="AF793" s="2"/>
    </row>
    <row r="794" spans="1:32" ht="15.75">
      <c r="A794" s="1"/>
      <c r="R794" s="2"/>
      <c r="S794" s="2"/>
      <c r="X794" s="3"/>
      <c r="Y794" s="3"/>
      <c r="Z794" s="3"/>
      <c r="AD794" s="2"/>
      <c r="AE794" s="2"/>
      <c r="AF794" s="2"/>
    </row>
    <row r="795" spans="1:32" ht="15.75">
      <c r="A795" s="1"/>
      <c r="R795" s="2"/>
      <c r="S795" s="2"/>
      <c r="X795" s="3"/>
      <c r="Y795" s="3"/>
      <c r="Z795" s="3"/>
      <c r="AD795" s="2"/>
      <c r="AE795" s="2"/>
      <c r="AF795" s="2"/>
    </row>
    <row r="796" spans="1:32" ht="15.75">
      <c r="A796" s="1"/>
      <c r="R796" s="2"/>
      <c r="S796" s="2"/>
      <c r="X796" s="3"/>
      <c r="Y796" s="3"/>
      <c r="Z796" s="3"/>
      <c r="AD796" s="2"/>
      <c r="AE796" s="2"/>
      <c r="AF796" s="2"/>
    </row>
    <row r="797" spans="1:32" ht="15.75">
      <c r="A797" s="1"/>
      <c r="R797" s="2"/>
      <c r="S797" s="2"/>
      <c r="X797" s="3"/>
      <c r="Y797" s="3"/>
      <c r="Z797" s="3"/>
      <c r="AD797" s="2"/>
      <c r="AE797" s="2"/>
      <c r="AF797" s="2"/>
    </row>
    <row r="798" spans="1:32" ht="15.75">
      <c r="A798" s="1"/>
      <c r="R798" s="2"/>
      <c r="S798" s="2"/>
      <c r="X798" s="3"/>
      <c r="Y798" s="3"/>
      <c r="Z798" s="3"/>
      <c r="AD798" s="2"/>
      <c r="AE798" s="2"/>
      <c r="AF798" s="2"/>
    </row>
    <row r="799" spans="1:32" ht="15.75">
      <c r="A799" s="1"/>
      <c r="R799" s="2"/>
      <c r="S799" s="2"/>
      <c r="X799" s="3"/>
      <c r="Y799" s="3"/>
      <c r="Z799" s="3"/>
      <c r="AD799" s="2"/>
      <c r="AE799" s="2"/>
      <c r="AF799" s="2"/>
    </row>
    <row r="800" spans="1:32" ht="15.75">
      <c r="A800" s="1"/>
      <c r="R800" s="2"/>
      <c r="S800" s="2"/>
      <c r="X800" s="3"/>
      <c r="Y800" s="3"/>
      <c r="Z800" s="3"/>
      <c r="AD800" s="2"/>
      <c r="AE800" s="2"/>
      <c r="AF800" s="2"/>
    </row>
    <row r="801" spans="1:32" ht="15.75">
      <c r="A801" s="1"/>
      <c r="R801" s="2"/>
      <c r="S801" s="2"/>
      <c r="X801" s="3"/>
      <c r="Y801" s="3"/>
      <c r="Z801" s="3"/>
      <c r="AD801" s="2"/>
      <c r="AE801" s="2"/>
      <c r="AF801" s="2"/>
    </row>
    <row r="802" spans="1:32" ht="15.75">
      <c r="A802" s="1"/>
      <c r="R802" s="2"/>
      <c r="S802" s="2"/>
      <c r="X802" s="3"/>
      <c r="Y802" s="3"/>
      <c r="Z802" s="3"/>
      <c r="AD802" s="2"/>
      <c r="AE802" s="2"/>
      <c r="AF802" s="2"/>
    </row>
    <row r="803" spans="1:32" ht="15.75">
      <c r="A803" s="1"/>
      <c r="R803" s="2"/>
      <c r="S803" s="2"/>
      <c r="X803" s="3"/>
      <c r="Y803" s="3"/>
      <c r="Z803" s="3"/>
      <c r="AD803" s="2"/>
      <c r="AE803" s="2"/>
      <c r="AF803" s="2"/>
    </row>
    <row r="804" spans="1:32" ht="15.75">
      <c r="A804" s="1"/>
      <c r="R804" s="2"/>
      <c r="S804" s="2"/>
      <c r="X804" s="3"/>
      <c r="Y804" s="3"/>
      <c r="Z804" s="3"/>
      <c r="AD804" s="2"/>
      <c r="AE804" s="2"/>
      <c r="AF804" s="2"/>
    </row>
    <row r="805" spans="1:32" ht="15.75">
      <c r="A805" s="1"/>
      <c r="R805" s="2"/>
      <c r="S805" s="2"/>
      <c r="X805" s="3"/>
      <c r="Y805" s="3"/>
      <c r="Z805" s="3"/>
      <c r="AD805" s="2"/>
      <c r="AE805" s="2"/>
      <c r="AF805" s="2"/>
    </row>
    <row r="806" spans="1:32" ht="15.75">
      <c r="A806" s="1"/>
      <c r="R806" s="2"/>
      <c r="S806" s="2"/>
      <c r="X806" s="3"/>
      <c r="Y806" s="3"/>
      <c r="Z806" s="3"/>
      <c r="AD806" s="2"/>
      <c r="AE806" s="2"/>
      <c r="AF806" s="2"/>
    </row>
    <row r="807" spans="1:32" ht="15.75">
      <c r="A807" s="1"/>
      <c r="R807" s="2"/>
      <c r="S807" s="2"/>
      <c r="X807" s="3"/>
      <c r="Y807" s="3"/>
      <c r="Z807" s="3"/>
      <c r="AD807" s="2"/>
      <c r="AE807" s="2"/>
      <c r="AF807" s="2"/>
    </row>
    <row r="808" spans="1:32" ht="15.75">
      <c r="A808" s="1"/>
      <c r="R808" s="2"/>
      <c r="S808" s="2"/>
      <c r="X808" s="3"/>
      <c r="Y808" s="3"/>
      <c r="Z808" s="3"/>
      <c r="AD808" s="2"/>
      <c r="AE808" s="2"/>
      <c r="AF808" s="2"/>
    </row>
    <row r="809" spans="1:32" ht="15.75">
      <c r="A809" s="1"/>
      <c r="R809" s="2"/>
      <c r="S809" s="2"/>
      <c r="X809" s="3"/>
      <c r="Y809" s="3"/>
      <c r="Z809" s="3"/>
      <c r="AD809" s="2"/>
      <c r="AE809" s="2"/>
      <c r="AF809" s="2"/>
    </row>
    <row r="810" spans="1:32" ht="15.75">
      <c r="A810" s="1"/>
      <c r="R810" s="2"/>
      <c r="S810" s="2"/>
      <c r="X810" s="3"/>
      <c r="Y810" s="3"/>
      <c r="Z810" s="3"/>
      <c r="AD810" s="2"/>
      <c r="AE810" s="2"/>
      <c r="AF810" s="2"/>
    </row>
    <row r="811" spans="1:32" ht="15.75">
      <c r="A811" s="1"/>
      <c r="R811" s="2"/>
      <c r="S811" s="2"/>
      <c r="X811" s="3"/>
      <c r="Y811" s="3"/>
      <c r="Z811" s="3"/>
      <c r="AD811" s="2"/>
      <c r="AE811" s="2"/>
      <c r="AF811" s="2"/>
    </row>
    <row r="812" spans="1:32" ht="15.75">
      <c r="A812" s="1"/>
      <c r="R812" s="2"/>
      <c r="S812" s="2"/>
      <c r="X812" s="3"/>
      <c r="Y812" s="3"/>
      <c r="Z812" s="3"/>
      <c r="AD812" s="2"/>
      <c r="AE812" s="2"/>
      <c r="AF812" s="2"/>
    </row>
    <row r="813" spans="1:32" ht="15.75">
      <c r="A813" s="1"/>
      <c r="R813" s="2"/>
      <c r="S813" s="2"/>
      <c r="X813" s="3"/>
      <c r="Y813" s="3"/>
      <c r="Z813" s="3"/>
      <c r="AD813" s="2"/>
      <c r="AE813" s="2"/>
      <c r="AF813" s="2"/>
    </row>
    <row r="814" spans="1:32" ht="15.75">
      <c r="A814" s="1"/>
      <c r="R814" s="2"/>
      <c r="S814" s="2"/>
      <c r="X814" s="3"/>
      <c r="Y814" s="3"/>
      <c r="Z814" s="3"/>
      <c r="AD814" s="2"/>
      <c r="AE814" s="2"/>
      <c r="AF814" s="2"/>
    </row>
    <row r="815" spans="1:32" ht="15.75">
      <c r="A815" s="1"/>
      <c r="R815" s="2"/>
      <c r="S815" s="2"/>
      <c r="X815" s="3"/>
      <c r="Y815" s="3"/>
      <c r="Z815" s="3"/>
      <c r="AD815" s="2"/>
      <c r="AE815" s="2"/>
      <c r="AF815" s="2"/>
    </row>
    <row r="816" spans="1:32" ht="15.75">
      <c r="A816" s="1"/>
      <c r="R816" s="2"/>
      <c r="S816" s="2"/>
      <c r="X816" s="3"/>
      <c r="Y816" s="3"/>
      <c r="Z816" s="3"/>
      <c r="AD816" s="2"/>
      <c r="AE816" s="2"/>
      <c r="AF816" s="2"/>
    </row>
    <row r="817" spans="1:32" ht="15.75">
      <c r="A817" s="1"/>
      <c r="R817" s="2"/>
      <c r="S817" s="2"/>
      <c r="X817" s="3"/>
      <c r="Y817" s="3"/>
      <c r="Z817" s="3"/>
      <c r="AD817" s="2"/>
      <c r="AE817" s="2"/>
      <c r="AF817" s="2"/>
    </row>
    <row r="818" spans="1:32" ht="15.75">
      <c r="A818" s="1"/>
      <c r="R818" s="2"/>
      <c r="S818" s="2"/>
      <c r="X818" s="3"/>
      <c r="Y818" s="3"/>
      <c r="Z818" s="3"/>
      <c r="AD818" s="2"/>
      <c r="AE818" s="2"/>
      <c r="AF818" s="2"/>
    </row>
    <row r="819" spans="1:32" ht="15.75">
      <c r="A819" s="1"/>
      <c r="R819" s="2"/>
      <c r="S819" s="2"/>
      <c r="X819" s="3"/>
      <c r="Y819" s="3"/>
      <c r="Z819" s="3"/>
      <c r="AD819" s="2"/>
      <c r="AE819" s="2"/>
      <c r="AF819" s="2"/>
    </row>
    <row r="820" spans="1:32" ht="15.75">
      <c r="A820" s="1"/>
      <c r="R820" s="2"/>
      <c r="S820" s="2"/>
      <c r="X820" s="3"/>
      <c r="Y820" s="3"/>
      <c r="Z820" s="3"/>
      <c r="AD820" s="2"/>
      <c r="AE820" s="2"/>
      <c r="AF820" s="2"/>
    </row>
    <row r="821" spans="1:32" ht="15.75">
      <c r="A821" s="1"/>
      <c r="R821" s="2"/>
      <c r="S821" s="2"/>
      <c r="X821" s="3"/>
      <c r="Y821" s="3"/>
      <c r="Z821" s="3"/>
      <c r="AD821" s="2"/>
      <c r="AE821" s="2"/>
      <c r="AF821" s="2"/>
    </row>
    <row r="822" spans="1:32" ht="15.75">
      <c r="A822" s="1"/>
      <c r="R822" s="2"/>
      <c r="S822" s="2"/>
      <c r="X822" s="3"/>
      <c r="Y822" s="3"/>
      <c r="Z822" s="3"/>
      <c r="AD822" s="2"/>
      <c r="AE822" s="2"/>
      <c r="AF822" s="2"/>
    </row>
    <row r="823" spans="1:32" ht="15.75">
      <c r="A823" s="1"/>
      <c r="R823" s="2"/>
      <c r="S823" s="2"/>
      <c r="X823" s="3"/>
      <c r="Y823" s="3"/>
      <c r="Z823" s="3"/>
      <c r="AD823" s="2"/>
      <c r="AE823" s="2"/>
      <c r="AF823" s="2"/>
    </row>
    <row r="824" spans="1:32" ht="15.75">
      <c r="A824" s="1"/>
      <c r="R824" s="2"/>
      <c r="S824" s="2"/>
      <c r="X824" s="3"/>
      <c r="Y824" s="3"/>
      <c r="Z824" s="3"/>
      <c r="AD824" s="2"/>
      <c r="AE824" s="2"/>
      <c r="AF824" s="2"/>
    </row>
    <row r="825" spans="1:32" ht="15.75">
      <c r="A825" s="1"/>
      <c r="R825" s="2"/>
      <c r="S825" s="2"/>
      <c r="X825" s="3"/>
      <c r="Y825" s="3"/>
      <c r="Z825" s="3"/>
      <c r="AD825" s="2"/>
      <c r="AE825" s="2"/>
      <c r="AF825" s="2"/>
    </row>
    <row r="826" spans="1:32" ht="15.75">
      <c r="A826" s="1"/>
      <c r="R826" s="2"/>
      <c r="S826" s="2"/>
      <c r="X826" s="3"/>
      <c r="Y826" s="3"/>
      <c r="Z826" s="3"/>
      <c r="AD826" s="2"/>
      <c r="AE826" s="2"/>
      <c r="AF826" s="2"/>
    </row>
    <row r="827" spans="1:32" ht="15.75">
      <c r="A827" s="1"/>
      <c r="R827" s="2"/>
      <c r="S827" s="2"/>
      <c r="X827" s="3"/>
      <c r="Y827" s="3"/>
      <c r="Z827" s="3"/>
      <c r="AD827" s="2"/>
      <c r="AE827" s="2"/>
      <c r="AF827" s="2"/>
    </row>
    <row r="828" spans="1:32" ht="15.75">
      <c r="A828" s="1"/>
      <c r="R828" s="2"/>
      <c r="S828" s="2"/>
      <c r="X828" s="3"/>
      <c r="Y828" s="3"/>
      <c r="Z828" s="3"/>
      <c r="AD828" s="2"/>
      <c r="AE828" s="2"/>
      <c r="AF828" s="2"/>
    </row>
    <row r="829" spans="1:32" ht="15.75">
      <c r="A829" s="1"/>
      <c r="R829" s="2"/>
      <c r="S829" s="2"/>
      <c r="X829" s="3"/>
      <c r="Y829" s="3"/>
      <c r="Z829" s="3"/>
      <c r="AD829" s="2"/>
      <c r="AE829" s="2"/>
      <c r="AF829" s="2"/>
    </row>
    <row r="830" spans="1:32" ht="15.75">
      <c r="A830" s="1"/>
      <c r="R830" s="2"/>
      <c r="S830" s="2"/>
      <c r="X830" s="3"/>
      <c r="Y830" s="3"/>
      <c r="Z830" s="3"/>
      <c r="AD830" s="2"/>
      <c r="AE830" s="2"/>
      <c r="AF830" s="2"/>
    </row>
    <row r="831" spans="1:32" ht="15.75">
      <c r="A831" s="1"/>
      <c r="R831" s="2"/>
      <c r="S831" s="2"/>
      <c r="X831" s="3"/>
      <c r="Y831" s="3"/>
      <c r="Z831" s="3"/>
      <c r="AD831" s="2"/>
      <c r="AE831" s="2"/>
      <c r="AF831" s="2"/>
    </row>
    <row r="832" spans="1:32" ht="15.75">
      <c r="A832" s="1"/>
      <c r="R832" s="2"/>
      <c r="S832" s="2"/>
      <c r="X832" s="3"/>
      <c r="Y832" s="3"/>
      <c r="Z832" s="3"/>
      <c r="AD832" s="2"/>
      <c r="AE832" s="2"/>
      <c r="AF832" s="2"/>
    </row>
    <row r="833" spans="1:32" ht="15.75">
      <c r="A833" s="1"/>
      <c r="R833" s="2"/>
      <c r="S833" s="2"/>
      <c r="X833" s="3"/>
      <c r="Y833" s="3"/>
      <c r="Z833" s="3"/>
      <c r="AD833" s="2"/>
      <c r="AE833" s="2"/>
      <c r="AF833" s="2"/>
    </row>
    <row r="834" spans="1:32" ht="15.75">
      <c r="A834" s="1"/>
      <c r="R834" s="2"/>
      <c r="S834" s="2"/>
      <c r="X834" s="3"/>
      <c r="Y834" s="3"/>
      <c r="Z834" s="3"/>
      <c r="AD834" s="2"/>
      <c r="AE834" s="2"/>
      <c r="AF834" s="2"/>
    </row>
    <row r="835" spans="1:32" ht="15.75">
      <c r="A835" s="1"/>
      <c r="R835" s="2"/>
      <c r="S835" s="2"/>
      <c r="X835" s="3"/>
      <c r="Y835" s="3"/>
      <c r="Z835" s="3"/>
      <c r="AD835" s="2"/>
      <c r="AE835" s="2"/>
      <c r="AF835" s="2"/>
    </row>
    <row r="836" spans="1:32" ht="15.75">
      <c r="A836" s="1"/>
      <c r="R836" s="2"/>
      <c r="S836" s="2"/>
      <c r="X836" s="3"/>
      <c r="Y836" s="3"/>
      <c r="Z836" s="3"/>
      <c r="AD836" s="2"/>
      <c r="AE836" s="2"/>
      <c r="AF836" s="2"/>
    </row>
    <row r="837" spans="1:32" ht="15.75">
      <c r="A837" s="1"/>
      <c r="R837" s="2"/>
      <c r="S837" s="2"/>
      <c r="X837" s="3"/>
      <c r="Y837" s="3"/>
      <c r="Z837" s="3"/>
      <c r="AD837" s="2"/>
      <c r="AE837" s="2"/>
      <c r="AF837" s="2"/>
    </row>
    <row r="838" spans="1:32" ht="15.75">
      <c r="A838" s="1"/>
      <c r="R838" s="2"/>
      <c r="S838" s="2"/>
      <c r="X838" s="3"/>
      <c r="Y838" s="3"/>
      <c r="Z838" s="3"/>
      <c r="AD838" s="2"/>
      <c r="AE838" s="2"/>
      <c r="AF838" s="2"/>
    </row>
    <row r="839" spans="1:32" ht="15.75">
      <c r="A839" s="1"/>
      <c r="R839" s="2"/>
      <c r="S839" s="2"/>
      <c r="X839" s="3"/>
      <c r="Y839" s="3"/>
      <c r="Z839" s="3"/>
      <c r="AD839" s="2"/>
      <c r="AE839" s="2"/>
      <c r="AF839" s="2"/>
    </row>
    <row r="840" spans="1:32" ht="15.75">
      <c r="A840" s="1"/>
      <c r="R840" s="2"/>
      <c r="S840" s="2"/>
      <c r="X840" s="3"/>
      <c r="Y840" s="3"/>
      <c r="Z840" s="3"/>
      <c r="AD840" s="2"/>
      <c r="AE840" s="2"/>
      <c r="AF840" s="2"/>
    </row>
    <row r="841" spans="1:32" ht="15.75">
      <c r="A841" s="1"/>
      <c r="R841" s="2"/>
      <c r="S841" s="2"/>
      <c r="X841" s="3"/>
      <c r="Y841" s="3"/>
      <c r="Z841" s="3"/>
      <c r="AD841" s="2"/>
      <c r="AE841" s="2"/>
      <c r="AF841" s="2"/>
    </row>
    <row r="842" spans="1:32" ht="15.75">
      <c r="A842" s="1"/>
      <c r="R842" s="2"/>
      <c r="S842" s="2"/>
      <c r="X842" s="3"/>
      <c r="Y842" s="3"/>
      <c r="Z842" s="3"/>
      <c r="AD842" s="2"/>
      <c r="AE842" s="2"/>
      <c r="AF842" s="2"/>
    </row>
    <row r="843" spans="1:32" ht="15.75">
      <c r="A843" s="1"/>
      <c r="R843" s="2"/>
      <c r="S843" s="2"/>
      <c r="X843" s="3"/>
      <c r="Y843" s="3"/>
      <c r="Z843" s="3"/>
      <c r="AD843" s="2"/>
      <c r="AE843" s="2"/>
      <c r="AF843" s="2"/>
    </row>
    <row r="844" spans="1:32" ht="15.75">
      <c r="A844" s="1"/>
      <c r="R844" s="2"/>
      <c r="S844" s="2"/>
      <c r="X844" s="3"/>
      <c r="Y844" s="3"/>
      <c r="Z844" s="3"/>
      <c r="AD844" s="2"/>
      <c r="AE844" s="2"/>
      <c r="AF844" s="2"/>
    </row>
    <row r="845" spans="1:32" ht="15.75">
      <c r="A845" s="1"/>
      <c r="R845" s="2"/>
      <c r="S845" s="2"/>
      <c r="X845" s="3"/>
      <c r="Y845" s="3"/>
      <c r="Z845" s="3"/>
      <c r="AD845" s="2"/>
      <c r="AE845" s="2"/>
      <c r="AF845" s="2"/>
    </row>
    <row r="846" spans="1:32" ht="15.75">
      <c r="A846" s="1"/>
      <c r="R846" s="2"/>
      <c r="S846" s="2"/>
      <c r="X846" s="3"/>
      <c r="Y846" s="3"/>
      <c r="Z846" s="3"/>
      <c r="AD846" s="2"/>
      <c r="AE846" s="2"/>
      <c r="AF846" s="2"/>
    </row>
    <row r="847" spans="1:32" ht="15.75">
      <c r="A847" s="1"/>
      <c r="R847" s="2"/>
      <c r="S847" s="2"/>
      <c r="X847" s="3"/>
      <c r="Y847" s="3"/>
      <c r="Z847" s="3"/>
      <c r="AD847" s="2"/>
      <c r="AE847" s="2"/>
      <c r="AF847" s="2"/>
    </row>
    <row r="848" spans="1:32" ht="15.75">
      <c r="A848" s="1"/>
      <c r="R848" s="2"/>
      <c r="S848" s="2"/>
      <c r="X848" s="3"/>
      <c r="Y848" s="3"/>
      <c r="Z848" s="3"/>
      <c r="AD848" s="2"/>
      <c r="AE848" s="2"/>
      <c r="AF848" s="2"/>
    </row>
    <row r="849" spans="1:32" ht="15.75">
      <c r="A849" s="1"/>
      <c r="R849" s="2"/>
      <c r="S849" s="2"/>
      <c r="X849" s="3"/>
      <c r="Y849" s="3"/>
      <c r="Z849" s="3"/>
      <c r="AD849" s="2"/>
      <c r="AE849" s="2"/>
      <c r="AF849" s="2"/>
    </row>
    <row r="850" spans="1:32" ht="15.75">
      <c r="A850" s="1"/>
      <c r="R850" s="2"/>
      <c r="S850" s="2"/>
      <c r="X850" s="3"/>
      <c r="Y850" s="3"/>
      <c r="Z850" s="3"/>
      <c r="AD850" s="2"/>
      <c r="AE850" s="2"/>
      <c r="AF850" s="2"/>
    </row>
    <row r="851" spans="1:32" ht="15.75">
      <c r="A851" s="1"/>
      <c r="R851" s="2"/>
      <c r="S851" s="2"/>
      <c r="X851" s="3"/>
      <c r="Y851" s="3"/>
      <c r="Z851" s="3"/>
      <c r="AD851" s="2"/>
      <c r="AE851" s="2"/>
      <c r="AF851" s="2"/>
    </row>
    <row r="852" spans="1:32" ht="15.75">
      <c r="A852" s="1"/>
      <c r="R852" s="2"/>
      <c r="S852" s="2"/>
      <c r="X852" s="3"/>
      <c r="Y852" s="3"/>
      <c r="Z852" s="3"/>
      <c r="AD852" s="2"/>
      <c r="AE852" s="2"/>
      <c r="AF852" s="2"/>
    </row>
    <row r="853" spans="1:32" ht="15.75">
      <c r="A853" s="1"/>
      <c r="R853" s="2"/>
      <c r="S853" s="2"/>
      <c r="X853" s="3"/>
      <c r="Y853" s="3"/>
      <c r="Z853" s="3"/>
      <c r="AD853" s="2"/>
      <c r="AE853" s="2"/>
      <c r="AF853" s="2"/>
    </row>
    <row r="854" spans="1:32" ht="15.75">
      <c r="A854" s="1"/>
      <c r="R854" s="2"/>
      <c r="S854" s="2"/>
      <c r="X854" s="3"/>
      <c r="Y854" s="3"/>
      <c r="Z854" s="3"/>
      <c r="AD854" s="2"/>
      <c r="AE854" s="2"/>
      <c r="AF854" s="2"/>
    </row>
    <row r="855" spans="1:32" ht="15.75">
      <c r="A855" s="1"/>
      <c r="R855" s="2"/>
      <c r="S855" s="2"/>
      <c r="X855" s="3"/>
      <c r="Y855" s="3"/>
      <c r="Z855" s="3"/>
      <c r="AD855" s="2"/>
      <c r="AE855" s="2"/>
      <c r="AF855" s="2"/>
    </row>
    <row r="856" spans="1:32" ht="15.75">
      <c r="A856" s="1"/>
      <c r="R856" s="2"/>
      <c r="S856" s="2"/>
      <c r="X856" s="3"/>
      <c r="Y856" s="3"/>
      <c r="Z856" s="3"/>
      <c r="AD856" s="2"/>
      <c r="AE856" s="2"/>
      <c r="AF856" s="2"/>
    </row>
    <row r="857" spans="1:32" ht="15.75">
      <c r="A857" s="1"/>
      <c r="R857" s="2"/>
      <c r="S857" s="2"/>
      <c r="X857" s="3"/>
      <c r="Y857" s="3"/>
      <c r="Z857" s="3"/>
      <c r="AD857" s="2"/>
      <c r="AE857" s="2"/>
      <c r="AF857" s="2"/>
    </row>
    <row r="858" spans="1:32" ht="15.75">
      <c r="A858" s="1"/>
      <c r="R858" s="2"/>
      <c r="S858" s="2"/>
      <c r="X858" s="3"/>
      <c r="Y858" s="3"/>
      <c r="Z858" s="3"/>
      <c r="AD858" s="2"/>
      <c r="AE858" s="2"/>
      <c r="AF858" s="2"/>
    </row>
    <row r="859" spans="1:32" ht="15.75">
      <c r="A859" s="1"/>
      <c r="R859" s="2"/>
      <c r="S859" s="2"/>
      <c r="X859" s="3"/>
      <c r="Y859" s="3"/>
      <c r="Z859" s="3"/>
      <c r="AD859" s="2"/>
      <c r="AE859" s="2"/>
      <c r="AF859" s="2"/>
    </row>
    <row r="860" spans="1:32" ht="15.75">
      <c r="A860" s="1"/>
      <c r="R860" s="2"/>
      <c r="S860" s="2"/>
      <c r="X860" s="3"/>
      <c r="Y860" s="3"/>
      <c r="Z860" s="3"/>
      <c r="AD860" s="2"/>
      <c r="AE860" s="2"/>
      <c r="AF860" s="2"/>
    </row>
    <row r="861" spans="1:32" ht="15.75">
      <c r="A861" s="1"/>
      <c r="R861" s="2"/>
      <c r="S861" s="2"/>
      <c r="X861" s="3"/>
      <c r="Y861" s="3"/>
      <c r="Z861" s="3"/>
      <c r="AD861" s="2"/>
      <c r="AE861" s="2"/>
      <c r="AF861" s="2"/>
    </row>
    <row r="862" spans="1:32" ht="15.75">
      <c r="A862" s="1"/>
      <c r="R862" s="2"/>
      <c r="S862" s="2"/>
      <c r="X862" s="3"/>
      <c r="Y862" s="3"/>
      <c r="Z862" s="3"/>
      <c r="AD862" s="2"/>
      <c r="AE862" s="2"/>
      <c r="AF862" s="2"/>
    </row>
    <row r="863" spans="1:32" ht="15.75">
      <c r="A863" s="1"/>
      <c r="R863" s="2"/>
      <c r="S863" s="2"/>
      <c r="X863" s="3"/>
      <c r="Y863" s="3"/>
      <c r="Z863" s="3"/>
      <c r="AD863" s="2"/>
      <c r="AE863" s="2"/>
      <c r="AF863" s="2"/>
    </row>
    <row r="864" spans="1:32" ht="15.75">
      <c r="A864" s="1"/>
      <c r="R864" s="2"/>
      <c r="S864" s="2"/>
      <c r="X864" s="3"/>
      <c r="Y864" s="3"/>
      <c r="Z864" s="3"/>
      <c r="AD864" s="2"/>
      <c r="AE864" s="2"/>
      <c r="AF864" s="2"/>
    </row>
    <row r="865" spans="1:32" ht="15.75">
      <c r="A865" s="1"/>
      <c r="R865" s="2"/>
      <c r="S865" s="2"/>
      <c r="X865" s="3"/>
      <c r="Y865" s="3"/>
      <c r="Z865" s="3"/>
      <c r="AD865" s="2"/>
      <c r="AE865" s="2"/>
      <c r="AF865" s="2"/>
    </row>
    <row r="866" spans="1:32" ht="15.75">
      <c r="A866" s="1"/>
      <c r="R866" s="2"/>
      <c r="S866" s="2"/>
      <c r="X866" s="3"/>
      <c r="Y866" s="3"/>
      <c r="Z866" s="3"/>
      <c r="AD866" s="2"/>
      <c r="AE866" s="2"/>
      <c r="AF866" s="2"/>
    </row>
    <row r="867" spans="1:32" ht="15.75">
      <c r="A867" s="1"/>
      <c r="R867" s="2"/>
      <c r="S867" s="2"/>
      <c r="X867" s="3"/>
      <c r="Y867" s="3"/>
      <c r="Z867" s="3"/>
      <c r="AD867" s="2"/>
      <c r="AE867" s="2"/>
      <c r="AF867" s="2"/>
    </row>
    <row r="868" spans="1:32" ht="15.75">
      <c r="A868" s="1"/>
      <c r="R868" s="2"/>
      <c r="S868" s="2"/>
      <c r="X868" s="3"/>
      <c r="Y868" s="3"/>
      <c r="Z868" s="3"/>
      <c r="AD868" s="2"/>
      <c r="AE868" s="2"/>
      <c r="AF868" s="2"/>
    </row>
    <row r="869" spans="1:32" ht="15.75">
      <c r="A869" s="1"/>
      <c r="R869" s="2"/>
      <c r="S869" s="2"/>
      <c r="X869" s="3"/>
      <c r="Y869" s="3"/>
      <c r="Z869" s="3"/>
      <c r="AD869" s="2"/>
      <c r="AE869" s="2"/>
      <c r="AF869" s="2"/>
    </row>
    <row r="870" spans="1:32" ht="15.75">
      <c r="A870" s="1"/>
      <c r="R870" s="2"/>
      <c r="S870" s="2"/>
      <c r="X870" s="3"/>
      <c r="Y870" s="3"/>
      <c r="Z870" s="3"/>
      <c r="AD870" s="2"/>
      <c r="AE870" s="2"/>
      <c r="AF870" s="2"/>
    </row>
    <row r="871" spans="1:32" ht="15.75">
      <c r="A871" s="1"/>
      <c r="R871" s="2"/>
      <c r="S871" s="2"/>
      <c r="X871" s="3"/>
      <c r="Y871" s="3"/>
      <c r="Z871" s="3"/>
      <c r="AD871" s="2"/>
      <c r="AE871" s="2"/>
      <c r="AF871" s="2"/>
    </row>
    <row r="872" spans="1:32" ht="15.75">
      <c r="A872" s="1"/>
      <c r="R872" s="2"/>
      <c r="S872" s="2"/>
      <c r="X872" s="3"/>
      <c r="Y872" s="3"/>
      <c r="Z872" s="3"/>
      <c r="AD872" s="2"/>
      <c r="AE872" s="2"/>
      <c r="AF872" s="2"/>
    </row>
    <row r="873" spans="1:32" ht="15.75">
      <c r="A873" s="1"/>
      <c r="R873" s="2"/>
      <c r="S873" s="2"/>
      <c r="X873" s="3"/>
      <c r="Y873" s="3"/>
      <c r="Z873" s="3"/>
      <c r="AD873" s="2"/>
      <c r="AE873" s="2"/>
      <c r="AF873" s="2"/>
    </row>
    <row r="874" spans="1:32" ht="15.75">
      <c r="A874" s="1"/>
      <c r="R874" s="2"/>
      <c r="S874" s="2"/>
      <c r="X874" s="3"/>
      <c r="Y874" s="3"/>
      <c r="Z874" s="3"/>
      <c r="AD874" s="2"/>
      <c r="AE874" s="2"/>
      <c r="AF874" s="2"/>
    </row>
    <row r="875" spans="1:32" ht="15.75">
      <c r="A875" s="1"/>
      <c r="R875" s="2"/>
      <c r="S875" s="2"/>
      <c r="X875" s="3"/>
      <c r="Y875" s="3"/>
      <c r="Z875" s="3"/>
      <c r="AD875" s="2"/>
      <c r="AE875" s="2"/>
      <c r="AF875" s="2"/>
    </row>
    <row r="876" spans="1:32" ht="15.75">
      <c r="A876" s="1"/>
      <c r="R876" s="2"/>
      <c r="S876" s="2"/>
      <c r="X876" s="3"/>
      <c r="Y876" s="3"/>
      <c r="Z876" s="3"/>
      <c r="AD876" s="2"/>
      <c r="AE876" s="2"/>
      <c r="AF876" s="2"/>
    </row>
    <row r="877" spans="1:32" ht="15.75">
      <c r="A877" s="1"/>
      <c r="R877" s="2"/>
      <c r="S877" s="2"/>
      <c r="X877" s="3"/>
      <c r="Y877" s="3"/>
      <c r="Z877" s="3"/>
      <c r="AD877" s="2"/>
      <c r="AE877" s="2"/>
      <c r="AF877" s="2"/>
    </row>
    <row r="878" spans="1:32" ht="15.75">
      <c r="A878" s="1"/>
      <c r="R878" s="2"/>
      <c r="S878" s="2"/>
      <c r="X878" s="3"/>
      <c r="Y878" s="3"/>
      <c r="Z878" s="3"/>
      <c r="AD878" s="2"/>
      <c r="AE878" s="2"/>
      <c r="AF878" s="2"/>
    </row>
    <row r="879" spans="1:32" ht="15.75">
      <c r="A879" s="1"/>
      <c r="R879" s="2"/>
      <c r="S879" s="2"/>
      <c r="X879" s="3"/>
      <c r="Y879" s="3"/>
      <c r="Z879" s="3"/>
      <c r="AD879" s="2"/>
      <c r="AE879" s="2"/>
      <c r="AF879" s="2"/>
    </row>
    <row r="880" spans="1:32" ht="15.75">
      <c r="A880" s="1"/>
      <c r="R880" s="2"/>
      <c r="S880" s="2"/>
      <c r="X880" s="3"/>
      <c r="Y880" s="3"/>
      <c r="Z880" s="3"/>
      <c r="AD880" s="2"/>
      <c r="AE880" s="2"/>
      <c r="AF880" s="2"/>
    </row>
    <row r="881" spans="1:32" ht="15.75">
      <c r="A881" s="1"/>
      <c r="R881" s="2"/>
      <c r="S881" s="2"/>
      <c r="X881" s="3"/>
      <c r="Y881" s="3"/>
      <c r="Z881" s="3"/>
      <c r="AD881" s="2"/>
      <c r="AE881" s="2"/>
      <c r="AF881" s="2"/>
    </row>
    <row r="882" spans="1:32" ht="15.75">
      <c r="A882" s="1"/>
      <c r="R882" s="2"/>
      <c r="S882" s="2"/>
      <c r="X882" s="3"/>
      <c r="Y882" s="3"/>
      <c r="Z882" s="3"/>
      <c r="AD882" s="2"/>
      <c r="AE882" s="2"/>
      <c r="AF882" s="2"/>
    </row>
    <row r="883" spans="1:32" ht="15.75">
      <c r="A883" s="1"/>
      <c r="R883" s="2"/>
      <c r="S883" s="2"/>
      <c r="X883" s="3"/>
      <c r="Y883" s="3"/>
      <c r="Z883" s="3"/>
      <c r="AD883" s="2"/>
      <c r="AE883" s="2"/>
      <c r="AF883" s="2"/>
    </row>
    <row r="884" spans="1:32" ht="15.75">
      <c r="A884" s="1"/>
      <c r="R884" s="2"/>
      <c r="S884" s="2"/>
      <c r="X884" s="3"/>
      <c r="Y884" s="3"/>
      <c r="Z884" s="3"/>
      <c r="AD884" s="2"/>
      <c r="AE884" s="2"/>
      <c r="AF884" s="2"/>
    </row>
    <row r="885" spans="1:32" ht="15.75">
      <c r="A885" s="1"/>
      <c r="R885" s="2"/>
      <c r="S885" s="2"/>
      <c r="X885" s="3"/>
      <c r="Y885" s="3"/>
      <c r="Z885" s="3"/>
      <c r="AD885" s="2"/>
      <c r="AE885" s="2"/>
      <c r="AF885" s="2"/>
    </row>
    <row r="886" spans="1:32" ht="15.75">
      <c r="A886" s="1"/>
      <c r="R886" s="2"/>
      <c r="S886" s="2"/>
      <c r="X886" s="3"/>
      <c r="Y886" s="3"/>
      <c r="Z886" s="3"/>
      <c r="AD886" s="2"/>
      <c r="AE886" s="2"/>
      <c r="AF886" s="2"/>
    </row>
    <row r="887" spans="1:32" ht="15.75">
      <c r="A887" s="1"/>
      <c r="R887" s="2"/>
      <c r="S887" s="2"/>
      <c r="X887" s="3"/>
      <c r="Y887" s="3"/>
      <c r="Z887" s="3"/>
      <c r="AD887" s="2"/>
      <c r="AE887" s="2"/>
      <c r="AF887" s="2"/>
    </row>
    <row r="888" spans="1:32" ht="15.75">
      <c r="A888" s="1"/>
      <c r="R888" s="2"/>
      <c r="S888" s="2"/>
      <c r="X888" s="3"/>
      <c r="Y888" s="3"/>
      <c r="Z888" s="3"/>
      <c r="AD888" s="2"/>
      <c r="AE888" s="2"/>
      <c r="AF888" s="2"/>
    </row>
    <row r="889" spans="1:32" ht="15.75">
      <c r="A889" s="1"/>
      <c r="R889" s="2"/>
      <c r="S889" s="2"/>
      <c r="X889" s="3"/>
      <c r="Y889" s="3"/>
      <c r="Z889" s="3"/>
      <c r="AD889" s="2"/>
      <c r="AE889" s="2"/>
      <c r="AF889" s="2"/>
    </row>
    <row r="890" spans="1:32" ht="15.75">
      <c r="A890" s="1"/>
      <c r="R890" s="2"/>
      <c r="S890" s="2"/>
      <c r="X890" s="3"/>
      <c r="Y890" s="3"/>
      <c r="Z890" s="3"/>
      <c r="AD890" s="2"/>
      <c r="AE890" s="2"/>
      <c r="AF890" s="2"/>
    </row>
    <row r="891" spans="1:32" ht="15.75">
      <c r="A891" s="1"/>
      <c r="R891" s="2"/>
      <c r="S891" s="2"/>
      <c r="X891" s="3"/>
      <c r="Y891" s="3"/>
      <c r="Z891" s="3"/>
      <c r="AD891" s="2"/>
      <c r="AE891" s="2"/>
      <c r="AF891" s="2"/>
    </row>
    <row r="892" spans="1:32" ht="15.75">
      <c r="A892" s="1"/>
      <c r="R892" s="2"/>
      <c r="S892" s="2"/>
      <c r="X892" s="3"/>
      <c r="Y892" s="3"/>
      <c r="Z892" s="3"/>
      <c r="AD892" s="2"/>
      <c r="AE892" s="2"/>
      <c r="AF892" s="2"/>
    </row>
    <row r="893" spans="1:32" ht="15.75">
      <c r="A893" s="1"/>
      <c r="R893" s="2"/>
      <c r="S893" s="2"/>
      <c r="X893" s="3"/>
      <c r="Y893" s="3"/>
      <c r="Z893" s="3"/>
      <c r="AD893" s="2"/>
      <c r="AE893" s="2"/>
      <c r="AF893" s="2"/>
    </row>
    <row r="894" spans="1:32" ht="15.75">
      <c r="A894" s="1"/>
      <c r="R894" s="2"/>
      <c r="S894" s="2"/>
      <c r="X894" s="3"/>
      <c r="Y894" s="3"/>
      <c r="Z894" s="3"/>
      <c r="AD894" s="2"/>
      <c r="AE894" s="2"/>
      <c r="AF894" s="2"/>
    </row>
    <row r="895" spans="1:32" ht="15.75">
      <c r="A895" s="1"/>
      <c r="R895" s="2"/>
      <c r="S895" s="2"/>
      <c r="X895" s="3"/>
      <c r="Y895" s="3"/>
      <c r="Z895" s="3"/>
      <c r="AD895" s="2"/>
      <c r="AE895" s="2"/>
      <c r="AF895" s="2"/>
    </row>
    <row r="896" spans="1:32" ht="15.75">
      <c r="A896" s="1"/>
      <c r="R896" s="2"/>
      <c r="S896" s="2"/>
      <c r="X896" s="3"/>
      <c r="Y896" s="3"/>
      <c r="Z896" s="3"/>
      <c r="AD896" s="2"/>
      <c r="AE896" s="2"/>
      <c r="AF896" s="2"/>
    </row>
    <row r="897" spans="1:32" ht="15.75">
      <c r="A897" s="1"/>
      <c r="R897" s="2"/>
      <c r="S897" s="2"/>
      <c r="X897" s="3"/>
      <c r="Y897" s="3"/>
      <c r="Z897" s="3"/>
      <c r="AD897" s="2"/>
      <c r="AE897" s="2"/>
      <c r="AF897" s="2"/>
    </row>
    <row r="898" spans="1:32" ht="15.75">
      <c r="A898" s="1"/>
      <c r="R898" s="2"/>
      <c r="S898" s="2"/>
      <c r="X898" s="3"/>
      <c r="Y898" s="3"/>
      <c r="Z898" s="3"/>
      <c r="AD898" s="2"/>
      <c r="AE898" s="2"/>
      <c r="AF898" s="2"/>
    </row>
    <row r="899" spans="1:32" ht="15.75">
      <c r="A899" s="1"/>
      <c r="R899" s="2"/>
      <c r="S899" s="2"/>
      <c r="X899" s="3"/>
      <c r="Y899" s="3"/>
      <c r="Z899" s="3"/>
      <c r="AD899" s="2"/>
      <c r="AE899" s="2"/>
      <c r="AF899" s="2"/>
    </row>
    <row r="900" spans="1:32" ht="15.75">
      <c r="A900" s="1"/>
      <c r="R900" s="2"/>
      <c r="S900" s="2"/>
      <c r="X900" s="3"/>
      <c r="Y900" s="3"/>
      <c r="Z900" s="3"/>
      <c r="AD900" s="2"/>
      <c r="AE900" s="2"/>
      <c r="AF900" s="2"/>
    </row>
    <row r="901" spans="1:32" ht="15.75">
      <c r="A901" s="1"/>
      <c r="R901" s="2"/>
      <c r="S901" s="2"/>
      <c r="X901" s="3"/>
      <c r="Y901" s="3"/>
      <c r="Z901" s="3"/>
      <c r="AD901" s="2"/>
      <c r="AE901" s="2"/>
      <c r="AF901" s="2"/>
    </row>
    <row r="902" spans="1:32" ht="15.75">
      <c r="A902" s="1"/>
      <c r="R902" s="2"/>
      <c r="S902" s="2"/>
      <c r="X902" s="3"/>
      <c r="Y902" s="3"/>
      <c r="Z902" s="3"/>
      <c r="AD902" s="2"/>
      <c r="AE902" s="2"/>
      <c r="AF902" s="2"/>
    </row>
    <row r="903" spans="1:32" ht="15.75">
      <c r="A903" s="1"/>
      <c r="R903" s="2"/>
      <c r="S903" s="2"/>
      <c r="X903" s="3"/>
      <c r="Y903" s="3"/>
      <c r="Z903" s="3"/>
      <c r="AD903" s="2"/>
      <c r="AE903" s="2"/>
      <c r="AF903" s="2"/>
    </row>
    <row r="904" spans="1:32" ht="15.75">
      <c r="A904" s="1"/>
      <c r="R904" s="2"/>
      <c r="S904" s="2"/>
      <c r="X904" s="3"/>
      <c r="Y904" s="3"/>
      <c r="Z904" s="3"/>
      <c r="AD904" s="2"/>
      <c r="AE904" s="2"/>
      <c r="AF904" s="2"/>
    </row>
    <row r="905" spans="1:32" ht="15.75">
      <c r="A905" s="1"/>
      <c r="R905" s="2"/>
      <c r="S905" s="2"/>
      <c r="X905" s="3"/>
      <c r="Y905" s="3"/>
      <c r="Z905" s="3"/>
      <c r="AD905" s="2"/>
      <c r="AE905" s="2"/>
      <c r="AF905" s="2"/>
    </row>
    <row r="906" spans="1:32" ht="15.75">
      <c r="A906" s="1"/>
      <c r="R906" s="2"/>
      <c r="S906" s="2"/>
      <c r="X906" s="3"/>
      <c r="Y906" s="3"/>
      <c r="Z906" s="3"/>
      <c r="AD906" s="2"/>
      <c r="AE906" s="2"/>
      <c r="AF906" s="2"/>
    </row>
    <row r="907" spans="1:32" ht="15.75">
      <c r="A907" s="1"/>
      <c r="R907" s="2"/>
      <c r="S907" s="2"/>
      <c r="X907" s="3"/>
      <c r="Y907" s="3"/>
      <c r="Z907" s="3"/>
      <c r="AD907" s="2"/>
      <c r="AE907" s="2"/>
      <c r="AF907" s="2"/>
    </row>
    <row r="908" spans="1:32" ht="15.75">
      <c r="A908" s="1"/>
      <c r="R908" s="2"/>
      <c r="S908" s="2"/>
      <c r="X908" s="3"/>
      <c r="Y908" s="3"/>
      <c r="Z908" s="3"/>
      <c r="AD908" s="2"/>
      <c r="AE908" s="2"/>
      <c r="AF908" s="2"/>
    </row>
    <row r="909" spans="1:32" ht="15.75">
      <c r="A909" s="1"/>
      <c r="R909" s="2"/>
      <c r="S909" s="2"/>
      <c r="X909" s="3"/>
      <c r="Y909" s="3"/>
      <c r="Z909" s="3"/>
      <c r="AD909" s="2"/>
      <c r="AE909" s="2"/>
      <c r="AF909" s="2"/>
    </row>
    <row r="910" spans="1:32" ht="15.75">
      <c r="A910" s="1"/>
      <c r="R910" s="2"/>
      <c r="S910" s="2"/>
      <c r="X910" s="3"/>
      <c r="Y910" s="3"/>
      <c r="Z910" s="3"/>
      <c r="AD910" s="2"/>
      <c r="AE910" s="2"/>
      <c r="AF910" s="2"/>
    </row>
    <row r="911" spans="1:32" ht="15.75">
      <c r="A911" s="1"/>
      <c r="R911" s="2"/>
      <c r="S911" s="2"/>
      <c r="X911" s="3"/>
      <c r="Y911" s="3"/>
      <c r="Z911" s="3"/>
      <c r="AD911" s="2"/>
      <c r="AE911" s="2"/>
      <c r="AF911" s="2"/>
    </row>
    <row r="912" spans="1:32" ht="15.75">
      <c r="A912" s="1"/>
      <c r="R912" s="2"/>
      <c r="S912" s="2"/>
      <c r="X912" s="3"/>
      <c r="Y912" s="3"/>
      <c r="Z912" s="3"/>
      <c r="AD912" s="2"/>
      <c r="AE912" s="2"/>
      <c r="AF912" s="2"/>
    </row>
    <row r="913" spans="1:32" ht="15.75">
      <c r="A913" s="1"/>
      <c r="R913" s="2"/>
      <c r="S913" s="2"/>
      <c r="X913" s="3"/>
      <c r="Y913" s="3"/>
      <c r="Z913" s="3"/>
      <c r="AD913" s="2"/>
      <c r="AE913" s="2"/>
      <c r="AF913" s="2"/>
    </row>
    <row r="914" spans="1:32" ht="15.75">
      <c r="A914" s="1"/>
      <c r="R914" s="2"/>
      <c r="S914" s="2"/>
      <c r="X914" s="3"/>
      <c r="Y914" s="3"/>
      <c r="Z914" s="3"/>
      <c r="AD914" s="2"/>
      <c r="AE914" s="2"/>
      <c r="AF914" s="2"/>
    </row>
    <row r="915" spans="1:32" ht="15.75">
      <c r="A915" s="1"/>
      <c r="R915" s="2"/>
      <c r="S915" s="2"/>
      <c r="X915" s="3"/>
      <c r="Y915" s="3"/>
      <c r="Z915" s="3"/>
      <c r="AD915" s="2"/>
      <c r="AE915" s="2"/>
      <c r="AF915" s="2"/>
    </row>
    <row r="916" spans="1:32" ht="15.75">
      <c r="A916" s="1"/>
      <c r="R916" s="2"/>
      <c r="S916" s="2"/>
      <c r="X916" s="3"/>
      <c r="Y916" s="3"/>
      <c r="Z916" s="3"/>
      <c r="AD916" s="2"/>
      <c r="AE916" s="2"/>
      <c r="AF916" s="2"/>
    </row>
    <row r="917" spans="1:32" ht="15.75">
      <c r="A917" s="1"/>
      <c r="R917" s="2"/>
      <c r="S917" s="2"/>
      <c r="X917" s="3"/>
      <c r="Y917" s="3"/>
      <c r="Z917" s="3"/>
      <c r="AD917" s="2"/>
      <c r="AE917" s="2"/>
      <c r="AF917" s="2"/>
    </row>
    <row r="918" spans="1:32" ht="15.75">
      <c r="A918" s="1"/>
      <c r="R918" s="2"/>
      <c r="S918" s="2"/>
      <c r="X918" s="3"/>
      <c r="Y918" s="3"/>
      <c r="Z918" s="3"/>
      <c r="AD918" s="2"/>
      <c r="AE918" s="2"/>
      <c r="AF918" s="2"/>
    </row>
    <row r="919" spans="1:32" ht="15.75">
      <c r="A919" s="1"/>
      <c r="R919" s="2"/>
      <c r="S919" s="2"/>
      <c r="X919" s="3"/>
      <c r="Y919" s="3"/>
      <c r="Z919" s="3"/>
      <c r="AD919" s="2"/>
      <c r="AE919" s="2"/>
      <c r="AF919" s="2"/>
    </row>
    <row r="920" spans="1:32" ht="15.75">
      <c r="A920" s="1"/>
      <c r="R920" s="2"/>
      <c r="S920" s="2"/>
      <c r="X920" s="3"/>
      <c r="Y920" s="3"/>
      <c r="Z920" s="3"/>
      <c r="AD920" s="2"/>
      <c r="AE920" s="2"/>
      <c r="AF920" s="2"/>
    </row>
    <row r="921" spans="1:32" ht="15.75">
      <c r="A921" s="1"/>
      <c r="R921" s="2"/>
      <c r="S921" s="2"/>
      <c r="X921" s="3"/>
      <c r="Y921" s="3"/>
      <c r="Z921" s="3"/>
      <c r="AD921" s="2"/>
      <c r="AE921" s="2"/>
      <c r="AF921" s="2"/>
    </row>
    <row r="922" spans="1:32" ht="15.75">
      <c r="A922" s="1"/>
      <c r="R922" s="2"/>
      <c r="S922" s="2"/>
      <c r="X922" s="3"/>
      <c r="Y922" s="3"/>
      <c r="Z922" s="3"/>
      <c r="AD922" s="2"/>
      <c r="AE922" s="2"/>
      <c r="AF922" s="2"/>
    </row>
    <row r="923" spans="1:32" ht="15.75">
      <c r="A923" s="1"/>
      <c r="R923" s="2"/>
      <c r="S923" s="2"/>
      <c r="X923" s="3"/>
      <c r="Y923" s="3"/>
      <c r="Z923" s="3"/>
      <c r="AD923" s="2"/>
      <c r="AE923" s="2"/>
      <c r="AF923" s="2"/>
    </row>
    <row r="924" spans="1:32" ht="15.75">
      <c r="A924" s="1"/>
      <c r="R924" s="2"/>
      <c r="S924" s="2"/>
      <c r="X924" s="3"/>
      <c r="Y924" s="3"/>
      <c r="Z924" s="3"/>
      <c r="AD924" s="2"/>
      <c r="AE924" s="2"/>
      <c r="AF924" s="2"/>
    </row>
    <row r="925" spans="1:32" ht="15.75">
      <c r="A925" s="1"/>
      <c r="R925" s="2"/>
      <c r="S925" s="2"/>
      <c r="X925" s="3"/>
      <c r="Y925" s="3"/>
      <c r="Z925" s="3"/>
      <c r="AD925" s="2"/>
      <c r="AE925" s="2"/>
      <c r="AF925" s="2"/>
    </row>
    <row r="926" spans="1:32" ht="15.75">
      <c r="A926" s="1"/>
      <c r="R926" s="2"/>
      <c r="S926" s="2"/>
      <c r="X926" s="3"/>
      <c r="Y926" s="3"/>
      <c r="Z926" s="3"/>
      <c r="AD926" s="2"/>
      <c r="AE926" s="2"/>
      <c r="AF926" s="2"/>
    </row>
    <row r="927" spans="1:32" ht="15.75">
      <c r="A927" s="1"/>
      <c r="R927" s="2"/>
      <c r="S927" s="2"/>
      <c r="X927" s="3"/>
      <c r="Y927" s="3"/>
      <c r="Z927" s="3"/>
      <c r="AD927" s="2"/>
      <c r="AE927" s="2"/>
      <c r="AF927" s="2"/>
    </row>
    <row r="928" spans="1:32" ht="15.75">
      <c r="A928" s="1"/>
      <c r="R928" s="2"/>
      <c r="S928" s="2"/>
      <c r="X928" s="3"/>
      <c r="Y928" s="3"/>
      <c r="Z928" s="3"/>
      <c r="AD928" s="2"/>
      <c r="AE928" s="2"/>
      <c r="AF928" s="2"/>
    </row>
    <row r="929" spans="1:32" ht="15.75">
      <c r="A929" s="1"/>
      <c r="R929" s="2"/>
      <c r="S929" s="2"/>
      <c r="X929" s="3"/>
      <c r="Y929" s="3"/>
      <c r="Z929" s="3"/>
      <c r="AD929" s="2"/>
      <c r="AE929" s="2"/>
      <c r="AF929" s="2"/>
    </row>
    <row r="930" spans="1:32" ht="15.75">
      <c r="A930" s="1"/>
      <c r="R930" s="2"/>
      <c r="S930" s="2"/>
      <c r="X930" s="3"/>
      <c r="Y930" s="3"/>
      <c r="Z930" s="3"/>
      <c r="AD930" s="2"/>
      <c r="AE930" s="2"/>
      <c r="AF930" s="2"/>
    </row>
    <row r="931" spans="1:32" ht="15.75">
      <c r="A931" s="1"/>
      <c r="R931" s="2"/>
      <c r="S931" s="2"/>
      <c r="X931" s="3"/>
      <c r="Y931" s="3"/>
      <c r="Z931" s="3"/>
      <c r="AD931" s="2"/>
      <c r="AE931" s="2"/>
      <c r="AF931" s="2"/>
    </row>
    <row r="932" spans="1:32" ht="15.75">
      <c r="A932" s="1"/>
      <c r="R932" s="2"/>
      <c r="S932" s="2"/>
      <c r="X932" s="3"/>
      <c r="Y932" s="3"/>
      <c r="Z932" s="3"/>
      <c r="AD932" s="2"/>
      <c r="AE932" s="2"/>
      <c r="AF932" s="2"/>
    </row>
    <row r="933" spans="1:32" ht="15.75">
      <c r="A933" s="1"/>
      <c r="R933" s="2"/>
      <c r="S933" s="2"/>
      <c r="X933" s="3"/>
      <c r="Y933" s="3"/>
      <c r="Z933" s="3"/>
      <c r="AD933" s="2"/>
      <c r="AE933" s="2"/>
      <c r="AF933" s="2"/>
    </row>
    <row r="934" spans="1:32" ht="15.75">
      <c r="A934" s="1"/>
      <c r="R934" s="2"/>
      <c r="S934" s="2"/>
      <c r="X934" s="3"/>
      <c r="Y934" s="3"/>
      <c r="Z934" s="3"/>
      <c r="AD934" s="2"/>
      <c r="AE934" s="2"/>
      <c r="AF934" s="2"/>
    </row>
    <row r="935" spans="1:32" ht="15.75">
      <c r="A935" s="1"/>
      <c r="R935" s="2"/>
      <c r="S935" s="2"/>
      <c r="X935" s="3"/>
      <c r="Y935" s="3"/>
      <c r="Z935" s="3"/>
      <c r="AD935" s="2"/>
      <c r="AE935" s="2"/>
      <c r="AF935" s="2"/>
    </row>
    <row r="936" spans="1:32" ht="15.75">
      <c r="A936" s="1"/>
      <c r="R936" s="2"/>
      <c r="S936" s="2"/>
      <c r="X936" s="3"/>
      <c r="Y936" s="3"/>
      <c r="Z936" s="3"/>
      <c r="AD936" s="2"/>
      <c r="AE936" s="2"/>
      <c r="AF936" s="2"/>
    </row>
    <row r="937" spans="1:32" ht="15.75">
      <c r="A937" s="1"/>
      <c r="R937" s="2"/>
      <c r="S937" s="2"/>
      <c r="X937" s="3"/>
      <c r="Y937" s="3"/>
      <c r="Z937" s="3"/>
      <c r="AD937" s="2"/>
      <c r="AE937" s="2"/>
      <c r="AF937" s="2"/>
    </row>
    <row r="938" spans="1:32" ht="15.75">
      <c r="A938" s="1"/>
      <c r="R938" s="2"/>
      <c r="S938" s="2"/>
      <c r="X938" s="3"/>
      <c r="Y938" s="3"/>
      <c r="Z938" s="3"/>
      <c r="AD938" s="2"/>
      <c r="AE938" s="2"/>
      <c r="AF938" s="2"/>
    </row>
    <row r="939" spans="1:32" ht="15.75">
      <c r="A939" s="1"/>
      <c r="R939" s="2"/>
      <c r="S939" s="2"/>
      <c r="X939" s="3"/>
      <c r="Y939" s="3"/>
      <c r="Z939" s="3"/>
      <c r="AD939" s="2"/>
      <c r="AE939" s="2"/>
      <c r="AF939" s="2"/>
    </row>
    <row r="940" spans="1:32" ht="15.75">
      <c r="A940" s="1"/>
      <c r="R940" s="2"/>
      <c r="S940" s="2"/>
      <c r="X940" s="3"/>
      <c r="Y940" s="3"/>
      <c r="Z940" s="3"/>
      <c r="AD940" s="2"/>
      <c r="AE940" s="2"/>
      <c r="AF940" s="2"/>
    </row>
    <row r="941" spans="1:32" ht="15.75">
      <c r="A941" s="1"/>
      <c r="R941" s="2"/>
      <c r="S941" s="2"/>
      <c r="X941" s="3"/>
      <c r="Y941" s="3"/>
      <c r="Z941" s="3"/>
      <c r="AD941" s="2"/>
      <c r="AE941" s="2"/>
      <c r="AF941" s="2"/>
    </row>
    <row r="942" spans="1:32" ht="15.75">
      <c r="A942" s="1"/>
      <c r="R942" s="2"/>
      <c r="S942" s="2"/>
      <c r="X942" s="3"/>
      <c r="Y942" s="3"/>
      <c r="Z942" s="3"/>
      <c r="AD942" s="2"/>
      <c r="AE942" s="2"/>
      <c r="AF942" s="2"/>
    </row>
    <row r="943" spans="1:32" ht="15.75">
      <c r="A943" s="1"/>
      <c r="R943" s="2"/>
      <c r="S943" s="2"/>
      <c r="X943" s="3"/>
      <c r="Y943" s="3"/>
      <c r="Z943" s="3"/>
      <c r="AD943" s="2"/>
      <c r="AE943" s="2"/>
      <c r="AF943" s="2"/>
    </row>
    <row r="944" spans="1:32" ht="15.75">
      <c r="A944" s="1"/>
      <c r="R944" s="2"/>
      <c r="S944" s="2"/>
      <c r="X944" s="3"/>
      <c r="Y944" s="3"/>
      <c r="Z944" s="3"/>
      <c r="AD944" s="2"/>
      <c r="AE944" s="2"/>
      <c r="AF944" s="2"/>
    </row>
    <row r="945" spans="1:32" ht="15.75">
      <c r="A945" s="1"/>
      <c r="R945" s="2"/>
      <c r="S945" s="2"/>
      <c r="X945" s="3"/>
      <c r="Y945" s="3"/>
      <c r="Z945" s="3"/>
      <c r="AD945" s="2"/>
      <c r="AE945" s="2"/>
      <c r="AF945" s="2"/>
    </row>
    <row r="946" spans="1:32" ht="15.75">
      <c r="A946" s="1"/>
      <c r="R946" s="2"/>
      <c r="S946" s="2"/>
      <c r="X946" s="3"/>
      <c r="Y946" s="3"/>
      <c r="Z946" s="3"/>
      <c r="AD946" s="2"/>
      <c r="AE946" s="2"/>
      <c r="AF946" s="2"/>
    </row>
    <row r="947" spans="1:32" ht="15.75">
      <c r="A947" s="1"/>
      <c r="R947" s="2"/>
      <c r="S947" s="2"/>
      <c r="X947" s="3"/>
      <c r="Y947" s="3"/>
      <c r="Z947" s="3"/>
      <c r="AD947" s="2"/>
      <c r="AE947" s="2"/>
      <c r="AF947" s="2"/>
    </row>
    <row r="948" spans="1:32" ht="15.75">
      <c r="A948" s="1"/>
      <c r="R948" s="2"/>
      <c r="S948" s="2"/>
      <c r="X948" s="3"/>
      <c r="Y948" s="3"/>
      <c r="Z948" s="3"/>
      <c r="AD948" s="2"/>
      <c r="AE948" s="2"/>
      <c r="AF948" s="2"/>
    </row>
    <row r="949" spans="1:32" ht="15.75">
      <c r="A949" s="1"/>
      <c r="R949" s="2"/>
      <c r="S949" s="2"/>
      <c r="X949" s="3"/>
      <c r="Y949" s="3"/>
      <c r="Z949" s="3"/>
      <c r="AD949" s="2"/>
      <c r="AE949" s="2"/>
      <c r="AF949" s="2"/>
    </row>
    <row r="950" spans="1:32" ht="15.75">
      <c r="A950" s="1"/>
      <c r="R950" s="2"/>
      <c r="S950" s="2"/>
      <c r="X950" s="3"/>
      <c r="Y950" s="3"/>
      <c r="Z950" s="3"/>
      <c r="AD950" s="2"/>
      <c r="AE950" s="2"/>
      <c r="AF950" s="2"/>
    </row>
    <row r="951" spans="1:32" ht="15.75">
      <c r="A951" s="1"/>
      <c r="R951" s="2"/>
      <c r="S951" s="2"/>
      <c r="X951" s="3"/>
      <c r="Y951" s="3"/>
      <c r="Z951" s="3"/>
      <c r="AD951" s="2"/>
      <c r="AE951" s="2"/>
      <c r="AF951" s="2"/>
    </row>
    <row r="952" spans="1:32" ht="15.75">
      <c r="A952" s="1"/>
      <c r="R952" s="2"/>
      <c r="S952" s="2"/>
      <c r="X952" s="3"/>
      <c r="Y952" s="3"/>
      <c r="Z952" s="3"/>
      <c r="AD952" s="2"/>
      <c r="AE952" s="2"/>
      <c r="AF952" s="2"/>
    </row>
    <row r="953" spans="1:32" ht="15.75">
      <c r="A953" s="1"/>
      <c r="R953" s="2"/>
      <c r="S953" s="2"/>
      <c r="X953" s="3"/>
      <c r="Y953" s="3"/>
      <c r="Z953" s="3"/>
      <c r="AD953" s="2"/>
      <c r="AE953" s="2"/>
      <c r="AF953" s="2"/>
    </row>
    <row r="954" spans="1:32" ht="15.75">
      <c r="A954" s="1"/>
      <c r="R954" s="2"/>
      <c r="S954" s="2"/>
      <c r="X954" s="3"/>
      <c r="Y954" s="3"/>
      <c r="Z954" s="3"/>
      <c r="AD954" s="2"/>
      <c r="AE954" s="2"/>
      <c r="AF954" s="2"/>
    </row>
    <row r="955" spans="1:32" ht="15.75">
      <c r="A955" s="1"/>
      <c r="R955" s="2"/>
      <c r="S955" s="2"/>
      <c r="X955" s="3"/>
      <c r="Y955" s="3"/>
      <c r="Z955" s="3"/>
      <c r="AD955" s="2"/>
      <c r="AE955" s="2"/>
      <c r="AF955" s="2"/>
    </row>
    <row r="956" spans="1:32" ht="15.75">
      <c r="A956" s="1"/>
      <c r="R956" s="2"/>
      <c r="S956" s="2"/>
      <c r="X956" s="3"/>
      <c r="Y956" s="3"/>
      <c r="Z956" s="3"/>
      <c r="AD956" s="2"/>
      <c r="AE956" s="2"/>
      <c r="AF956" s="2"/>
    </row>
    <row r="957" spans="1:32" ht="15.75">
      <c r="A957" s="1"/>
      <c r="R957" s="2"/>
      <c r="S957" s="2"/>
      <c r="X957" s="3"/>
      <c r="Y957" s="3"/>
      <c r="Z957" s="3"/>
      <c r="AD957" s="2"/>
      <c r="AE957" s="2"/>
      <c r="AF957" s="2"/>
    </row>
    <row r="958" spans="1:32" ht="15.75">
      <c r="A958" s="1"/>
      <c r="R958" s="2"/>
      <c r="S958" s="2"/>
      <c r="X958" s="3"/>
      <c r="Y958" s="3"/>
      <c r="Z958" s="3"/>
      <c r="AD958" s="2"/>
      <c r="AE958" s="2"/>
      <c r="AF958" s="2"/>
    </row>
    <row r="959" spans="1:32" ht="15.75">
      <c r="A959" s="1"/>
      <c r="R959" s="2"/>
      <c r="S959" s="2"/>
      <c r="X959" s="3"/>
      <c r="Y959" s="3"/>
      <c r="Z959" s="3"/>
      <c r="AD959" s="2"/>
      <c r="AE959" s="2"/>
      <c r="AF959" s="2"/>
    </row>
    <row r="960" spans="1:32" ht="15.75">
      <c r="A960" s="1"/>
      <c r="R960" s="2"/>
      <c r="S960" s="2"/>
      <c r="X960" s="3"/>
      <c r="Y960" s="3"/>
      <c r="Z960" s="3"/>
      <c r="AD960" s="2"/>
      <c r="AE960" s="2"/>
      <c r="AF960" s="2"/>
    </row>
    <row r="961" spans="1:32" ht="15.75">
      <c r="A961" s="1"/>
      <c r="R961" s="2"/>
      <c r="S961" s="2"/>
      <c r="X961" s="3"/>
      <c r="Y961" s="3"/>
      <c r="Z961" s="3"/>
      <c r="AD961" s="2"/>
      <c r="AE961" s="2"/>
      <c r="AF961" s="2"/>
    </row>
    <row r="962" spans="1:32" ht="15.75">
      <c r="A962" s="1"/>
      <c r="R962" s="2"/>
      <c r="S962" s="2"/>
      <c r="X962" s="3"/>
      <c r="Y962" s="3"/>
      <c r="Z962" s="3"/>
      <c r="AD962" s="2"/>
      <c r="AE962" s="2"/>
      <c r="AF962" s="2"/>
    </row>
    <row r="963" spans="1:32" ht="15.75">
      <c r="A963" s="1"/>
      <c r="R963" s="2"/>
      <c r="S963" s="2"/>
      <c r="X963" s="3"/>
      <c r="Y963" s="3"/>
      <c r="Z963" s="3"/>
      <c r="AD963" s="2"/>
      <c r="AE963" s="2"/>
      <c r="AF963" s="2"/>
    </row>
    <row r="964" spans="1:32" ht="15.75">
      <c r="A964" s="1"/>
      <c r="R964" s="2"/>
      <c r="S964" s="2"/>
      <c r="X964" s="3"/>
      <c r="Y964" s="3"/>
      <c r="Z964" s="3"/>
      <c r="AD964" s="2"/>
      <c r="AE964" s="2"/>
      <c r="AF964" s="2"/>
    </row>
    <row r="965" spans="1:32" ht="15.75">
      <c r="A965" s="1"/>
      <c r="R965" s="2"/>
      <c r="S965" s="2"/>
      <c r="X965" s="3"/>
      <c r="Y965" s="3"/>
      <c r="Z965" s="3"/>
      <c r="AD965" s="2"/>
      <c r="AE965" s="2"/>
      <c r="AF965" s="2"/>
    </row>
    <row r="966" spans="1:32" ht="15.75">
      <c r="A966" s="1"/>
      <c r="R966" s="2"/>
      <c r="S966" s="2"/>
      <c r="X966" s="3"/>
      <c r="Y966" s="3"/>
      <c r="Z966" s="3"/>
      <c r="AD966" s="2"/>
      <c r="AE966" s="2"/>
      <c r="AF966" s="2"/>
    </row>
    <row r="967" spans="1:32" ht="15.75">
      <c r="A967" s="1"/>
      <c r="R967" s="2"/>
      <c r="S967" s="2"/>
      <c r="X967" s="3"/>
      <c r="Y967" s="3"/>
      <c r="Z967" s="3"/>
      <c r="AD967" s="2"/>
      <c r="AE967" s="2"/>
      <c r="AF967" s="2"/>
    </row>
    <row r="968" spans="1:32" ht="15.75">
      <c r="A968" s="1"/>
      <c r="R968" s="2"/>
      <c r="S968" s="2"/>
      <c r="X968" s="3"/>
      <c r="Y968" s="3"/>
      <c r="Z968" s="3"/>
      <c r="AD968" s="2"/>
      <c r="AE968" s="2"/>
      <c r="AF968" s="2"/>
    </row>
    <row r="969" spans="1:32" ht="15.75">
      <c r="A969" s="1"/>
      <c r="R969" s="2"/>
      <c r="S969" s="2"/>
      <c r="X969" s="3"/>
      <c r="Y969" s="3"/>
      <c r="Z969" s="3"/>
      <c r="AD969" s="2"/>
      <c r="AE969" s="2"/>
      <c r="AF969" s="2"/>
    </row>
    <row r="970" spans="1:32" ht="15.75">
      <c r="A970" s="1"/>
      <c r="R970" s="2"/>
      <c r="S970" s="2"/>
      <c r="X970" s="3"/>
      <c r="Y970" s="3"/>
      <c r="Z970" s="3"/>
      <c r="AD970" s="2"/>
      <c r="AE970" s="2"/>
      <c r="AF970" s="2"/>
    </row>
    <row r="971" spans="1:32" ht="15.75">
      <c r="A971" s="1"/>
      <c r="R971" s="2"/>
      <c r="S971" s="2"/>
      <c r="X971" s="3"/>
      <c r="Y971" s="3"/>
      <c r="Z971" s="3"/>
      <c r="AD971" s="2"/>
      <c r="AE971" s="2"/>
      <c r="AF971" s="2"/>
    </row>
    <row r="972" spans="1:32" ht="15.75">
      <c r="A972" s="1"/>
      <c r="R972" s="2"/>
      <c r="S972" s="2"/>
      <c r="X972" s="3"/>
      <c r="Y972" s="3"/>
      <c r="Z972" s="3"/>
      <c r="AD972" s="2"/>
      <c r="AE972" s="2"/>
      <c r="AF972" s="2"/>
    </row>
    <row r="973" spans="1:32" ht="15.75">
      <c r="A973" s="1"/>
      <c r="R973" s="2"/>
      <c r="S973" s="2"/>
      <c r="X973" s="3"/>
      <c r="Y973" s="3"/>
      <c r="Z973" s="3"/>
      <c r="AD973" s="2"/>
      <c r="AE973" s="2"/>
      <c r="AF973" s="2"/>
    </row>
    <row r="974" spans="1:32" ht="15.75">
      <c r="A974" s="1"/>
      <c r="R974" s="2"/>
      <c r="S974" s="2"/>
      <c r="X974" s="3"/>
      <c r="Y974" s="3"/>
      <c r="Z974" s="3"/>
      <c r="AD974" s="2"/>
      <c r="AE974" s="2"/>
      <c r="AF974" s="2"/>
    </row>
    <row r="975" spans="1:32" ht="15.75">
      <c r="A975" s="1"/>
      <c r="R975" s="2"/>
      <c r="S975" s="2"/>
      <c r="X975" s="3"/>
      <c r="Y975" s="3"/>
      <c r="Z975" s="3"/>
      <c r="AD975" s="2"/>
      <c r="AE975" s="2"/>
      <c r="AF975" s="2"/>
    </row>
    <row r="976" spans="1:32" ht="15.75">
      <c r="A976" s="1"/>
      <c r="R976" s="2"/>
      <c r="S976" s="2"/>
      <c r="X976" s="3"/>
      <c r="Y976" s="3"/>
      <c r="Z976" s="3"/>
      <c r="AD976" s="2"/>
      <c r="AE976" s="2"/>
      <c r="AF976" s="2"/>
    </row>
    <row r="977" spans="1:32" ht="15.75">
      <c r="A977" s="1"/>
      <c r="R977" s="2"/>
      <c r="S977" s="2"/>
      <c r="X977" s="3"/>
      <c r="Y977" s="3"/>
      <c r="Z977" s="3"/>
      <c r="AD977" s="2"/>
      <c r="AE977" s="2"/>
      <c r="AF977" s="2"/>
    </row>
    <row r="978" spans="1:32" ht="15.75">
      <c r="A978" s="1"/>
      <c r="R978" s="2"/>
      <c r="S978" s="2"/>
      <c r="X978" s="3"/>
      <c r="Y978" s="3"/>
      <c r="Z978" s="3"/>
      <c r="AD978" s="2"/>
      <c r="AE978" s="2"/>
      <c r="AF978" s="2"/>
    </row>
    <row r="979" spans="1:32" ht="15.75">
      <c r="A979" s="1"/>
      <c r="R979" s="2"/>
      <c r="S979" s="2"/>
      <c r="X979" s="3"/>
      <c r="Y979" s="3"/>
      <c r="Z979" s="3"/>
      <c r="AD979" s="2"/>
      <c r="AE979" s="2"/>
      <c r="AF979" s="2"/>
    </row>
    <row r="980" spans="1:32" ht="15.75">
      <c r="A980" s="1"/>
      <c r="R980" s="2"/>
      <c r="S980" s="2"/>
      <c r="X980" s="3"/>
      <c r="Y980" s="3"/>
      <c r="Z980" s="3"/>
      <c r="AD980" s="2"/>
      <c r="AE980" s="2"/>
      <c r="AF980" s="2"/>
    </row>
    <row r="981" spans="1:32" ht="15.75">
      <c r="A981" s="1"/>
      <c r="R981" s="2"/>
      <c r="S981" s="2"/>
      <c r="X981" s="3"/>
      <c r="Y981" s="3"/>
      <c r="Z981" s="3"/>
      <c r="AD981" s="2"/>
      <c r="AE981" s="2"/>
      <c r="AF981" s="2"/>
    </row>
    <row r="982" spans="1:32" ht="15.75">
      <c r="A982" s="1"/>
      <c r="R982" s="2"/>
      <c r="S982" s="2"/>
      <c r="X982" s="3"/>
      <c r="Y982" s="3"/>
      <c r="Z982" s="3"/>
      <c r="AD982" s="2"/>
      <c r="AE982" s="2"/>
      <c r="AF982" s="2"/>
    </row>
    <row r="983" spans="1:32" ht="15.75">
      <c r="A983" s="1"/>
      <c r="R983" s="2"/>
      <c r="S983" s="2"/>
      <c r="X983" s="3"/>
      <c r="Y983" s="3"/>
      <c r="Z983" s="3"/>
      <c r="AD983" s="2"/>
      <c r="AE983" s="2"/>
      <c r="AF983" s="2"/>
    </row>
    <row r="984" spans="1:32" ht="15.75">
      <c r="A984" s="1"/>
      <c r="R984" s="2"/>
      <c r="S984" s="2"/>
      <c r="X984" s="3"/>
      <c r="Y984" s="3"/>
      <c r="Z984" s="3"/>
      <c r="AD984" s="2"/>
      <c r="AE984" s="2"/>
      <c r="AF984" s="2"/>
    </row>
    <row r="985" spans="1:32" ht="15.75">
      <c r="A985" s="1"/>
      <c r="R985" s="2"/>
      <c r="S985" s="2"/>
      <c r="X985" s="3"/>
      <c r="Y985" s="3"/>
      <c r="Z985" s="3"/>
      <c r="AD985" s="2"/>
      <c r="AE985" s="2"/>
      <c r="AF985" s="2"/>
    </row>
    <row r="986" spans="1:32" ht="15.75">
      <c r="A986" s="1"/>
      <c r="R986" s="2"/>
      <c r="S986" s="2"/>
      <c r="X986" s="3"/>
      <c r="Y986" s="3"/>
      <c r="Z986" s="3"/>
      <c r="AD986" s="2"/>
      <c r="AE986" s="2"/>
      <c r="AF986" s="2"/>
    </row>
    <row r="987" spans="1:32" ht="15.75">
      <c r="A987" s="1"/>
      <c r="R987" s="2"/>
      <c r="S987" s="2"/>
      <c r="X987" s="3"/>
      <c r="Y987" s="3"/>
      <c r="Z987" s="3"/>
      <c r="AD987" s="2"/>
      <c r="AE987" s="2"/>
      <c r="AF987" s="2"/>
    </row>
    <row r="988" spans="1:32" ht="15.75">
      <c r="A988" s="1"/>
      <c r="R988" s="2"/>
      <c r="S988" s="2"/>
      <c r="X988" s="3"/>
      <c r="Y988" s="3"/>
      <c r="Z988" s="3"/>
      <c r="AD988" s="2"/>
      <c r="AE988" s="2"/>
      <c r="AF988" s="2"/>
    </row>
    <row r="989" spans="1:32" ht="15.75">
      <c r="A989" s="1"/>
      <c r="R989" s="2"/>
      <c r="S989" s="2"/>
      <c r="X989" s="3"/>
      <c r="Y989" s="3"/>
      <c r="Z989" s="3"/>
      <c r="AD989" s="2"/>
      <c r="AE989" s="2"/>
      <c r="AF989" s="2"/>
    </row>
    <row r="990" spans="1:32" ht="15.75">
      <c r="A990" s="1"/>
      <c r="R990" s="2"/>
      <c r="S990" s="2"/>
      <c r="X990" s="3"/>
      <c r="Y990" s="3"/>
      <c r="Z990" s="3"/>
      <c r="AD990" s="2"/>
      <c r="AE990" s="2"/>
      <c r="AF990" s="2"/>
    </row>
    <row r="991" spans="1:32" ht="15.75">
      <c r="A991" s="1"/>
      <c r="R991" s="2"/>
      <c r="S991" s="2"/>
      <c r="X991" s="3"/>
      <c r="Y991" s="3"/>
      <c r="Z991" s="3"/>
      <c r="AD991" s="2"/>
      <c r="AE991" s="2"/>
      <c r="AF991" s="2"/>
    </row>
    <row r="992" spans="1:32" ht="15.75">
      <c r="A992" s="1"/>
      <c r="R992" s="2"/>
      <c r="S992" s="2"/>
      <c r="X992" s="3"/>
      <c r="Y992" s="3"/>
      <c r="Z992" s="3"/>
      <c r="AD992" s="2"/>
      <c r="AE992" s="2"/>
      <c r="AF992" s="2"/>
    </row>
    <row r="993" spans="1:32" ht="15.75">
      <c r="A993" s="1"/>
      <c r="R993" s="2"/>
      <c r="S993" s="2"/>
      <c r="X993" s="3"/>
      <c r="Y993" s="3"/>
      <c r="Z993" s="3"/>
      <c r="AD993" s="2"/>
      <c r="AE993" s="2"/>
      <c r="AF993" s="2"/>
    </row>
    <row r="994" spans="1:32" ht="15.75">
      <c r="A994" s="1"/>
      <c r="R994" s="2"/>
      <c r="S994" s="2"/>
      <c r="X994" s="3"/>
      <c r="Y994" s="3"/>
      <c r="Z994" s="3"/>
      <c r="AD994" s="2"/>
      <c r="AE994" s="2"/>
      <c r="AF994" s="2"/>
    </row>
    <row r="995" spans="1:32" ht="15.75">
      <c r="A995" s="1"/>
      <c r="R995" s="2"/>
      <c r="S995" s="2"/>
      <c r="X995" s="3"/>
      <c r="Y995" s="3"/>
      <c r="Z995" s="3"/>
      <c r="AD995" s="2"/>
      <c r="AE995" s="2"/>
      <c r="AF995" s="2"/>
    </row>
    <row r="996" spans="1:32" ht="15.75">
      <c r="A996" s="1"/>
      <c r="R996" s="2"/>
      <c r="S996" s="2"/>
      <c r="X996" s="3"/>
      <c r="Y996" s="3"/>
      <c r="Z996" s="3"/>
      <c r="AD996" s="2"/>
      <c r="AE996" s="2"/>
      <c r="AF996" s="2"/>
    </row>
    <row r="997" spans="1:32" ht="15.75">
      <c r="A997" s="1"/>
      <c r="R997" s="2"/>
      <c r="S997" s="2"/>
      <c r="X997" s="3"/>
      <c r="Y997" s="3"/>
      <c r="Z997" s="3"/>
      <c r="AD997" s="2"/>
      <c r="AE997" s="2"/>
      <c r="AF997" s="2"/>
    </row>
    <row r="998" spans="1:32" ht="15.75">
      <c r="A998" s="1"/>
      <c r="R998" s="2"/>
      <c r="S998" s="2"/>
      <c r="X998" s="3"/>
      <c r="Y998" s="3"/>
      <c r="Z998" s="3"/>
      <c r="AD998" s="2"/>
      <c r="AE998" s="2"/>
      <c r="AF998" s="2"/>
    </row>
    <row r="999" spans="1:32" ht="15.75">
      <c r="A999" s="1"/>
      <c r="R999" s="2"/>
      <c r="S999" s="2"/>
      <c r="X999" s="3"/>
      <c r="Y999" s="3"/>
      <c r="Z999" s="3"/>
      <c r="AD999" s="2"/>
      <c r="AE999" s="2"/>
      <c r="AF999" s="2"/>
    </row>
    <row r="1000" spans="1:32" ht="15.75">
      <c r="A1000" s="1"/>
      <c r="R1000" s="2"/>
      <c r="S1000" s="2"/>
      <c r="X1000" s="3"/>
      <c r="Y1000" s="3"/>
      <c r="Z1000" s="3"/>
      <c r="AD1000" s="2"/>
      <c r="AE1000" s="2"/>
      <c r="AF1000" s="2"/>
    </row>
  </sheetData>
  <sheetProtection/>
  <autoFilter ref="A23:AF123"/>
  <mergeCells count="12">
    <mergeCell ref="A1:D1"/>
    <mergeCell ref="A3:D3"/>
    <mergeCell ref="A5:D14"/>
    <mergeCell ref="A15:B15"/>
    <mergeCell ref="B21:G22"/>
    <mergeCell ref="E5:E7"/>
    <mergeCell ref="F16:G19"/>
    <mergeCell ref="F14:G15"/>
    <mergeCell ref="F11:G13"/>
    <mergeCell ref="F5:G7"/>
    <mergeCell ref="F8:G10"/>
    <mergeCell ref="C18:D19"/>
  </mergeCells>
  <hyperlinks>
    <hyperlink ref="W45" r:id="rId1" display="https://www.waitrose.com/ecom/products/waitrose-physalis/088241-45208-45209"/>
    <hyperlink ref="AF57" r:id="rId2" display="https://www.abelandcole.co.uk/shop/product/5080/crab-apples-organic-750g?altmenu=carrot"/>
  </hyperlinks>
  <printOptions/>
  <pageMargins left="0.7" right="0.7" top="0.75" bottom="0.75" header="0" footer="0"/>
  <pageSetup horizontalDpi="600" verticalDpi="600" orientation="landscape" r:id="rId4"/>
  <drawing r:id="rId3"/>
</worksheet>
</file>

<file path=xl/worksheets/sheet3.xml><?xml version="1.0" encoding="utf-8"?>
<worksheet xmlns="http://schemas.openxmlformats.org/spreadsheetml/2006/main" xmlns:r="http://schemas.openxmlformats.org/officeDocument/2006/relationships">
  <dimension ref="A1:AF1000"/>
  <sheetViews>
    <sheetView zoomScale="70" zoomScaleNormal="70" zoomScalePageLayoutView="0" workbookViewId="0" topLeftCell="A1">
      <selection activeCell="J9" sqref="J1:W16384"/>
    </sheetView>
  </sheetViews>
  <sheetFormatPr defaultColWidth="14.421875" defaultRowHeight="15" customHeight="1"/>
  <cols>
    <col min="1" max="1" width="20.7109375" style="2" customWidth="1"/>
    <col min="2" max="2" width="18.421875" style="2" customWidth="1"/>
    <col min="3" max="3" width="21.7109375" style="2" customWidth="1"/>
    <col min="4" max="7" width="18.140625" style="2" customWidth="1"/>
    <col min="8" max="9" width="12.8515625" style="2" customWidth="1"/>
    <col min="10" max="20" width="8.7109375" style="2" hidden="1" customWidth="1"/>
    <col min="21" max="21" width="11.8515625" style="2" hidden="1" customWidth="1"/>
    <col min="22" max="22" width="14.57421875" style="2" hidden="1" customWidth="1"/>
    <col min="23" max="23" width="9.140625" style="2" hidden="1" customWidth="1"/>
    <col min="24" max="25" width="8.7109375" style="2" customWidth="1"/>
    <col min="26" max="26" width="8.7109375" style="23" customWidth="1"/>
    <col min="27" max="29" width="9.140625" style="2" customWidth="1"/>
    <col min="30" max="32" width="8.00390625" style="2" customWidth="1"/>
    <col min="33" max="16384" width="14.421875" style="2" customWidth="1"/>
  </cols>
  <sheetData>
    <row r="1" spans="1:5" s="23" customFormat="1" ht="15" customHeight="1" thickBot="1">
      <c r="A1" s="105" t="s">
        <v>157</v>
      </c>
      <c r="B1" s="106"/>
      <c r="C1" s="106"/>
      <c r="D1" s="106"/>
      <c r="E1" s="107"/>
    </row>
    <row r="2" spans="1:5" s="23" customFormat="1" ht="15" customHeight="1">
      <c r="A2" s="63"/>
      <c r="B2" s="63"/>
      <c r="C2" s="63"/>
      <c r="D2" s="63"/>
      <c r="E2" s="63"/>
    </row>
    <row r="3" spans="1:7" ht="15" customHeight="1">
      <c r="A3" s="108" t="s">
        <v>0</v>
      </c>
      <c r="B3" s="109"/>
      <c r="C3" s="109"/>
      <c r="D3" s="109"/>
      <c r="E3" s="23"/>
      <c r="F3" s="23"/>
      <c r="G3" s="23"/>
    </row>
    <row r="4" spans="1:26" s="28" customFormat="1" ht="15.75" customHeight="1">
      <c r="A4" s="31"/>
      <c r="B4" s="31"/>
      <c r="C4" s="31"/>
      <c r="D4" s="31"/>
      <c r="E4" s="30"/>
      <c r="F4" s="30"/>
      <c r="G4" s="26"/>
      <c r="H4" s="27"/>
      <c r="I4" s="27"/>
      <c r="V4" s="29"/>
      <c r="W4" s="29"/>
      <c r="X4" s="29"/>
      <c r="Y4" s="29"/>
      <c r="Z4" s="49"/>
    </row>
    <row r="5" spans="1:26" ht="15" customHeight="1">
      <c r="A5" s="110" t="s">
        <v>151</v>
      </c>
      <c r="B5" s="111"/>
      <c r="C5" s="111"/>
      <c r="D5" s="111"/>
      <c r="E5" s="95"/>
      <c r="F5" s="87"/>
      <c r="G5" s="87"/>
      <c r="H5" s="4"/>
      <c r="I5" s="4"/>
      <c r="V5" s="3"/>
      <c r="W5" s="3"/>
      <c r="X5" s="3"/>
      <c r="Y5" s="3"/>
      <c r="Z5" s="50"/>
    </row>
    <row r="6" spans="1:26" ht="15" customHeight="1">
      <c r="A6" s="111"/>
      <c r="B6" s="112"/>
      <c r="C6" s="112"/>
      <c r="D6" s="112"/>
      <c r="E6" s="95"/>
      <c r="F6" s="87"/>
      <c r="G6" s="87"/>
      <c r="H6" s="4"/>
      <c r="I6" s="4"/>
      <c r="V6" s="3"/>
      <c r="W6" s="3"/>
      <c r="X6" s="3"/>
      <c r="Y6" s="3"/>
      <c r="Z6" s="50"/>
    </row>
    <row r="7" spans="1:26" ht="15" customHeight="1">
      <c r="A7" s="111"/>
      <c r="B7" s="112"/>
      <c r="C7" s="112"/>
      <c r="D7" s="112"/>
      <c r="E7" s="95"/>
      <c r="F7" s="87"/>
      <c r="G7" s="87"/>
      <c r="H7" s="4"/>
      <c r="I7" s="4"/>
      <c r="V7" s="3"/>
      <c r="W7" s="3"/>
      <c r="X7" s="3"/>
      <c r="Y7" s="3"/>
      <c r="Z7" s="50"/>
    </row>
    <row r="8" spans="1:26" ht="15" customHeight="1">
      <c r="A8" s="111"/>
      <c r="B8" s="112"/>
      <c r="C8" s="112"/>
      <c r="D8" s="112"/>
      <c r="E8" s="23"/>
      <c r="F8" s="102"/>
      <c r="G8" s="102"/>
      <c r="H8" s="4"/>
      <c r="I8" s="4"/>
      <c r="V8" s="3"/>
      <c r="W8" s="3"/>
      <c r="X8" s="3"/>
      <c r="Y8" s="3"/>
      <c r="Z8" s="50"/>
    </row>
    <row r="9" spans="1:26" ht="15" customHeight="1">
      <c r="A9" s="111"/>
      <c r="B9" s="112"/>
      <c r="C9" s="112"/>
      <c r="D9" s="112"/>
      <c r="E9" s="23"/>
      <c r="F9" s="102"/>
      <c r="G9" s="102"/>
      <c r="H9" s="4"/>
      <c r="I9" s="4"/>
      <c r="V9" s="3"/>
      <c r="W9" s="3"/>
      <c r="X9" s="3"/>
      <c r="Y9" s="3"/>
      <c r="Z9" s="50"/>
    </row>
    <row r="10" spans="1:26" ht="15" customHeight="1">
      <c r="A10" s="111"/>
      <c r="B10" s="112"/>
      <c r="C10" s="112"/>
      <c r="D10" s="112"/>
      <c r="E10" s="23"/>
      <c r="F10" s="102"/>
      <c r="G10" s="102"/>
      <c r="H10" s="4"/>
      <c r="I10" s="4"/>
      <c r="V10" s="3"/>
      <c r="W10" s="3"/>
      <c r="X10" s="3"/>
      <c r="Y10" s="3"/>
      <c r="Z10" s="50"/>
    </row>
    <row r="11" spans="1:26" ht="15.75" customHeight="1">
      <c r="A11" s="111"/>
      <c r="B11" s="112"/>
      <c r="C11" s="112"/>
      <c r="D11" s="112"/>
      <c r="E11" s="23"/>
      <c r="F11" s="101"/>
      <c r="G11" s="101"/>
      <c r="H11" s="4"/>
      <c r="I11" s="4"/>
      <c r="V11" s="3"/>
      <c r="W11" s="3"/>
      <c r="X11" s="3"/>
      <c r="Y11" s="3"/>
      <c r="Z11" s="50"/>
    </row>
    <row r="12" spans="1:26" ht="25.5" customHeight="1">
      <c r="A12" s="111"/>
      <c r="B12" s="112"/>
      <c r="C12" s="112"/>
      <c r="D12" s="112"/>
      <c r="E12" s="23"/>
      <c r="F12" s="101"/>
      <c r="G12" s="101"/>
      <c r="H12" s="4"/>
      <c r="I12" s="4"/>
      <c r="V12" s="3"/>
      <c r="W12" s="3"/>
      <c r="X12" s="3"/>
      <c r="Y12" s="3"/>
      <c r="Z12" s="50"/>
    </row>
    <row r="13" spans="1:26" ht="15.75" customHeight="1">
      <c r="A13" s="111"/>
      <c r="B13" s="112"/>
      <c r="C13" s="112"/>
      <c r="D13" s="112"/>
      <c r="E13" s="23"/>
      <c r="F13" s="101"/>
      <c r="G13" s="101"/>
      <c r="H13" s="4"/>
      <c r="I13" s="4"/>
      <c r="V13" s="3"/>
      <c r="W13" s="3"/>
      <c r="X13" s="3"/>
      <c r="Y13" s="3"/>
      <c r="Z13" s="50"/>
    </row>
    <row r="14" spans="1:26" ht="55.5" customHeight="1">
      <c r="A14" s="111"/>
      <c r="B14" s="112"/>
      <c r="C14" s="112"/>
      <c r="D14" s="112"/>
      <c r="E14" s="23"/>
      <c r="F14" s="101"/>
      <c r="G14" s="101"/>
      <c r="H14" s="4"/>
      <c r="I14" s="4"/>
      <c r="V14" s="3"/>
      <c r="W14" s="3"/>
      <c r="X14" s="3"/>
      <c r="Y14" s="3"/>
      <c r="Z14" s="50"/>
    </row>
    <row r="15" spans="1:25" ht="42" customHeight="1">
      <c r="A15" s="113" t="s">
        <v>1</v>
      </c>
      <c r="B15" s="114"/>
      <c r="C15" s="3"/>
      <c r="D15" s="19"/>
      <c r="E15" s="19"/>
      <c r="F15" s="101"/>
      <c r="G15" s="101"/>
      <c r="H15" s="3"/>
      <c r="I15" s="23"/>
      <c r="U15" s="3"/>
      <c r="V15" s="3"/>
      <c r="W15" s="3"/>
      <c r="X15" s="3"/>
      <c r="Y15" s="3"/>
    </row>
    <row r="16" spans="1:25" ht="15.75" customHeight="1">
      <c r="A16" s="6" t="s">
        <v>2</v>
      </c>
      <c r="B16" s="7"/>
      <c r="C16" s="3"/>
      <c r="D16" s="19"/>
      <c r="E16" s="19"/>
      <c r="F16" s="100" t="s">
        <v>152</v>
      </c>
      <c r="G16" s="100"/>
      <c r="H16" s="3"/>
      <c r="I16" s="23"/>
      <c r="U16" s="3"/>
      <c r="V16" s="3"/>
      <c r="W16" s="3"/>
      <c r="X16" s="3"/>
      <c r="Y16" s="3"/>
    </row>
    <row r="17" spans="1:25" ht="15.75" customHeight="1">
      <c r="A17" s="6" t="s">
        <v>3</v>
      </c>
      <c r="B17" s="8"/>
      <c r="D17" s="19"/>
      <c r="E17" s="19"/>
      <c r="F17" s="100"/>
      <c r="G17" s="100"/>
      <c r="H17" s="3"/>
      <c r="I17" s="23"/>
      <c r="U17" s="3"/>
      <c r="V17" s="3"/>
      <c r="W17" s="3"/>
      <c r="X17" s="3"/>
      <c r="Y17" s="3"/>
    </row>
    <row r="18" spans="1:25" ht="15.75" customHeight="1">
      <c r="A18" s="6" t="s">
        <v>4</v>
      </c>
      <c r="B18" s="9">
        <f>SUM(P24:P123)</f>
        <v>0</v>
      </c>
      <c r="C18" s="103" t="s">
        <v>148</v>
      </c>
      <c r="D18" s="104"/>
      <c r="E18" s="19"/>
      <c r="F18" s="100"/>
      <c r="G18" s="100"/>
      <c r="H18" s="3"/>
      <c r="I18" s="23"/>
      <c r="U18" s="3"/>
      <c r="V18" s="3"/>
      <c r="W18" s="3"/>
      <c r="X18" s="3"/>
      <c r="Y18" s="3"/>
    </row>
    <row r="19" spans="1:25" ht="15.75" customHeight="1">
      <c r="A19" s="6" t="s">
        <v>5</v>
      </c>
      <c r="B19" s="9">
        <f>SUM(Q24:Q123)</f>
        <v>0</v>
      </c>
      <c r="C19" s="103"/>
      <c r="D19" s="104"/>
      <c r="E19" s="19"/>
      <c r="F19" s="100"/>
      <c r="G19" s="100"/>
      <c r="H19" s="3"/>
      <c r="I19" s="23"/>
      <c r="U19" s="3"/>
      <c r="V19" s="3"/>
      <c r="W19" s="3"/>
      <c r="X19" s="3"/>
      <c r="Y19" s="3"/>
    </row>
    <row r="20" spans="1:25" ht="15.75" customHeight="1">
      <c r="A20" s="6" t="s">
        <v>6</v>
      </c>
      <c r="B20" s="10">
        <f>IF(B18&gt;0,B19/B18,"")</f>
      </c>
      <c r="C20" s="34" t="e">
        <f>100%-B20</f>
        <v>#VALUE!</v>
      </c>
      <c r="D20" s="33"/>
      <c r="E20" s="20"/>
      <c r="F20" s="20"/>
      <c r="G20" s="3"/>
      <c r="H20" s="3"/>
      <c r="I20" s="23"/>
      <c r="U20" s="3"/>
      <c r="V20" s="3"/>
      <c r="W20" s="3"/>
      <c r="X20" s="3"/>
      <c r="Y20" s="3"/>
    </row>
    <row r="21" spans="1:26" ht="15.75" customHeight="1">
      <c r="A21" s="35" t="s">
        <v>153</v>
      </c>
      <c r="B21" s="98" t="s">
        <v>150</v>
      </c>
      <c r="C21" s="98"/>
      <c r="D21" s="98"/>
      <c r="E21" s="98"/>
      <c r="F21" s="98"/>
      <c r="G21" s="98"/>
      <c r="H21" s="3"/>
      <c r="I21" s="3"/>
      <c r="V21" s="3"/>
      <c r="W21" s="3"/>
      <c r="X21" s="3"/>
      <c r="Y21" s="3"/>
      <c r="Z21" s="50"/>
    </row>
    <row r="22" spans="1:26" ht="15.75" customHeight="1">
      <c r="A22" s="35" t="s">
        <v>154</v>
      </c>
      <c r="B22" s="99"/>
      <c r="C22" s="99"/>
      <c r="D22" s="99"/>
      <c r="E22" s="99"/>
      <c r="F22" s="99"/>
      <c r="G22" s="99"/>
      <c r="H22" s="3"/>
      <c r="I22" s="3"/>
      <c r="V22" s="3"/>
      <c r="W22" s="3"/>
      <c r="X22" s="3"/>
      <c r="Y22" s="3"/>
      <c r="Z22" s="50"/>
    </row>
    <row r="23" spans="1:26" ht="43.5" customHeight="1">
      <c r="A23" s="11" t="s">
        <v>7</v>
      </c>
      <c r="B23" s="21" t="s">
        <v>138</v>
      </c>
      <c r="C23" s="22" t="s">
        <v>137</v>
      </c>
      <c r="D23" s="22" t="s">
        <v>140</v>
      </c>
      <c r="E23" s="22" t="s">
        <v>139</v>
      </c>
      <c r="F23" s="22" t="s">
        <v>141</v>
      </c>
      <c r="G23" s="22" t="s">
        <v>144</v>
      </c>
      <c r="H23" s="13" t="s">
        <v>8</v>
      </c>
      <c r="I23" s="12" t="s">
        <v>9</v>
      </c>
      <c r="J23" s="14" t="s">
        <v>136</v>
      </c>
      <c r="K23" s="14" t="s">
        <v>135</v>
      </c>
      <c r="L23" s="14" t="s">
        <v>132</v>
      </c>
      <c r="M23" s="14" t="s">
        <v>133</v>
      </c>
      <c r="N23" s="14" t="s">
        <v>134</v>
      </c>
      <c r="O23" s="14" t="s">
        <v>10</v>
      </c>
      <c r="P23" s="14" t="s">
        <v>11</v>
      </c>
      <c r="Q23" s="14" t="s">
        <v>12</v>
      </c>
      <c r="R23" s="14" t="s">
        <v>13</v>
      </c>
      <c r="S23" s="14" t="s">
        <v>14</v>
      </c>
      <c r="T23" s="14" t="s">
        <v>15</v>
      </c>
      <c r="U23" s="14" t="s">
        <v>16</v>
      </c>
      <c r="V23" s="19" t="s">
        <v>375</v>
      </c>
      <c r="W23" s="19" t="s">
        <v>374</v>
      </c>
      <c r="X23" s="3"/>
      <c r="Y23" s="3"/>
      <c r="Z23" s="50"/>
    </row>
    <row r="24" spans="1:26" s="17" customFormat="1" ht="30" customHeight="1">
      <c r="A24" s="16" t="s">
        <v>18</v>
      </c>
      <c r="B24" s="51">
        <f>'Standard values'!B24</f>
        <v>0</v>
      </c>
      <c r="C24" s="51">
        <f>'Standard values'!C24</f>
        <v>0</v>
      </c>
      <c r="D24" s="51">
        <f>'Standard values'!D24</f>
        <v>0</v>
      </c>
      <c r="E24" s="51">
        <f>'Standard values'!E24</f>
        <v>0</v>
      </c>
      <c r="F24" s="51">
        <f>'Standard values'!F24</f>
        <v>0</v>
      </c>
      <c r="G24" s="51">
        <f>'Standard values'!G24</f>
        <v>0</v>
      </c>
      <c r="H24" s="52">
        <f aca="true" t="shared" si="0" ref="H24:I39">P24</f>
        <v>0</v>
      </c>
      <c r="I24" s="52">
        <f t="shared" si="0"/>
        <v>0</v>
      </c>
      <c r="J24" s="53">
        <f>D24*R24</f>
        <v>0</v>
      </c>
      <c r="K24" s="54">
        <f>C24*28.3495</f>
        <v>0</v>
      </c>
      <c r="L24" s="55">
        <f>E24*100</f>
        <v>0</v>
      </c>
      <c r="M24" s="55">
        <f>F24*300</f>
        <v>0</v>
      </c>
      <c r="N24" s="55">
        <f>G24*120</f>
        <v>0</v>
      </c>
      <c r="O24" s="53">
        <f>B24+SUM(J24:N24)</f>
        <v>0</v>
      </c>
      <c r="P24" s="54">
        <f>S24*O24</f>
        <v>0</v>
      </c>
      <c r="Q24" s="54">
        <f aca="true" t="shared" si="1" ref="Q24:Q87">P24*U24</f>
        <v>0</v>
      </c>
      <c r="R24" s="15">
        <v>1</v>
      </c>
      <c r="S24" s="17">
        <f>16/1000</f>
        <v>0.016</v>
      </c>
      <c r="T24" s="57">
        <f aca="true" t="shared" si="2" ref="T24:T85">S24*100</f>
        <v>1.6</v>
      </c>
      <c r="U24" s="15">
        <v>1</v>
      </c>
      <c r="V24" s="58" t="s">
        <v>172</v>
      </c>
      <c r="X24" s="58"/>
      <c r="Y24" s="58"/>
      <c r="Z24" s="59"/>
    </row>
    <row r="25" spans="1:26" s="17" customFormat="1" ht="30" customHeight="1">
      <c r="A25" s="18" t="s">
        <v>20</v>
      </c>
      <c r="B25" s="51">
        <f>'Standard values'!B25</f>
        <v>0</v>
      </c>
      <c r="C25" s="51">
        <f>'Standard values'!C25</f>
        <v>0</v>
      </c>
      <c r="D25" s="51">
        <f>'Standard values'!D25</f>
        <v>0</v>
      </c>
      <c r="E25" s="51">
        <f>'Standard values'!E25</f>
        <v>0</v>
      </c>
      <c r="F25" s="51">
        <f>'Standard values'!F25</f>
        <v>0</v>
      </c>
      <c r="G25" s="51">
        <f>'Standard values'!G25</f>
        <v>0</v>
      </c>
      <c r="H25" s="52">
        <f t="shared" si="0"/>
        <v>0</v>
      </c>
      <c r="I25" s="52">
        <f t="shared" si="0"/>
        <v>0</v>
      </c>
      <c r="J25" s="53">
        <f aca="true" t="shared" si="3" ref="J25:J88">D25*R25</f>
        <v>0</v>
      </c>
      <c r="K25" s="54">
        <f aca="true" t="shared" si="4" ref="K25:K88">C25*28.3495</f>
        <v>0</v>
      </c>
      <c r="L25" s="55">
        <f aca="true" t="shared" si="5" ref="L25:L88">E25*100</f>
        <v>0</v>
      </c>
      <c r="M25" s="55">
        <f aca="true" t="shared" si="6" ref="M25:M88">F25*300</f>
        <v>0</v>
      </c>
      <c r="N25" s="55">
        <f aca="true" t="shared" si="7" ref="N25:N88">G25*120</f>
        <v>0</v>
      </c>
      <c r="O25" s="53">
        <f aca="true" t="shared" si="8" ref="O25:O88">B25+SUM(J25:N25)</f>
        <v>0</v>
      </c>
      <c r="P25" s="54">
        <f aca="true" t="shared" si="9" ref="P25:P88">S25*O25</f>
        <v>0</v>
      </c>
      <c r="Q25" s="54">
        <f t="shared" si="1"/>
        <v>0</v>
      </c>
      <c r="S25" s="56">
        <f>0.51/100</f>
        <v>0.0051</v>
      </c>
      <c r="T25" s="57">
        <f t="shared" si="2"/>
        <v>0.51</v>
      </c>
      <c r="U25" s="17">
        <v>0</v>
      </c>
      <c r="V25" s="58" t="s">
        <v>176</v>
      </c>
      <c r="X25" s="58"/>
      <c r="Y25" s="58"/>
      <c r="Z25" s="59"/>
    </row>
    <row r="26" spans="1:26" s="17" customFormat="1" ht="30" customHeight="1">
      <c r="A26" s="16" t="s">
        <v>21</v>
      </c>
      <c r="B26" s="51">
        <f>'Standard values'!B26</f>
        <v>0</v>
      </c>
      <c r="C26" s="51">
        <f>'Standard values'!C26</f>
        <v>0</v>
      </c>
      <c r="D26" s="51">
        <f>'Standard values'!D26</f>
        <v>0</v>
      </c>
      <c r="E26" s="51">
        <f>'Standard values'!E26</f>
        <v>0</v>
      </c>
      <c r="F26" s="51">
        <f>'Standard values'!F26</f>
        <v>0</v>
      </c>
      <c r="G26" s="51">
        <f>'Standard values'!G26</f>
        <v>0</v>
      </c>
      <c r="H26" s="52">
        <f t="shared" si="0"/>
        <v>0</v>
      </c>
      <c r="I26" s="52">
        <f t="shared" si="0"/>
        <v>0</v>
      </c>
      <c r="J26" s="53">
        <f t="shared" si="3"/>
        <v>0</v>
      </c>
      <c r="K26" s="54">
        <f t="shared" si="4"/>
        <v>0</v>
      </c>
      <c r="L26" s="55">
        <f t="shared" si="5"/>
        <v>0</v>
      </c>
      <c r="M26" s="55">
        <f t="shared" si="6"/>
        <v>0</v>
      </c>
      <c r="N26" s="55">
        <f t="shared" si="7"/>
        <v>0</v>
      </c>
      <c r="O26" s="53">
        <f t="shared" si="8"/>
        <v>0</v>
      </c>
      <c r="P26" s="54">
        <f t="shared" si="9"/>
        <v>0</v>
      </c>
      <c r="Q26" s="54">
        <f t="shared" si="1"/>
        <v>0</v>
      </c>
      <c r="R26" s="15">
        <v>200</v>
      </c>
      <c r="S26" s="17">
        <f>4.75/1200</f>
        <v>0.003958333333333334</v>
      </c>
      <c r="T26" s="57">
        <f t="shared" si="2"/>
        <v>0.39583333333333337</v>
      </c>
      <c r="U26" s="15">
        <v>1</v>
      </c>
      <c r="V26" s="17" t="s">
        <v>368</v>
      </c>
      <c r="X26" s="58"/>
      <c r="Y26" s="58"/>
      <c r="Z26" s="59"/>
    </row>
    <row r="27" spans="1:26" s="17" customFormat="1" ht="30" customHeight="1">
      <c r="A27" s="16" t="s">
        <v>25</v>
      </c>
      <c r="B27" s="51">
        <f>'Standard values'!B27</f>
        <v>0</v>
      </c>
      <c r="C27" s="51">
        <f>'Standard values'!C27</f>
        <v>0</v>
      </c>
      <c r="D27" s="51">
        <f>'Standard values'!D27</f>
        <v>0</v>
      </c>
      <c r="E27" s="51">
        <f>'Standard values'!E27</f>
        <v>0</v>
      </c>
      <c r="F27" s="51">
        <f>'Standard values'!F27</f>
        <v>0</v>
      </c>
      <c r="G27" s="51">
        <f>'Standard values'!G27</f>
        <v>0</v>
      </c>
      <c r="H27" s="52">
        <f t="shared" si="0"/>
        <v>0</v>
      </c>
      <c r="I27" s="52">
        <f t="shared" si="0"/>
        <v>0</v>
      </c>
      <c r="J27" s="53">
        <f t="shared" si="3"/>
        <v>0</v>
      </c>
      <c r="K27" s="54">
        <f t="shared" si="4"/>
        <v>0</v>
      </c>
      <c r="L27" s="55">
        <f t="shared" si="5"/>
        <v>0</v>
      </c>
      <c r="M27" s="55">
        <f t="shared" si="6"/>
        <v>0</v>
      </c>
      <c r="N27" s="55">
        <f t="shared" si="7"/>
        <v>0</v>
      </c>
      <c r="O27" s="53">
        <f t="shared" si="8"/>
        <v>0</v>
      </c>
      <c r="P27" s="54">
        <f t="shared" si="9"/>
        <v>0</v>
      </c>
      <c r="Q27" s="54">
        <f t="shared" si="1"/>
        <v>0</v>
      </c>
      <c r="R27" s="15">
        <v>100</v>
      </c>
      <c r="S27" s="17">
        <f>0.625/100</f>
        <v>0.00625</v>
      </c>
      <c r="T27" s="57">
        <f t="shared" si="2"/>
        <v>0.625</v>
      </c>
      <c r="U27" s="15">
        <v>1</v>
      </c>
      <c r="V27" s="17" t="s">
        <v>367</v>
      </c>
      <c r="X27" s="58"/>
      <c r="Y27" s="58"/>
      <c r="Z27" s="59"/>
    </row>
    <row r="28" spans="1:26" s="17" customFormat="1" ht="30" customHeight="1">
      <c r="A28" s="18" t="s">
        <v>26</v>
      </c>
      <c r="B28" s="51">
        <f>'Standard values'!B28</f>
        <v>0</v>
      </c>
      <c r="C28" s="51">
        <f>'Standard values'!C28</f>
        <v>0</v>
      </c>
      <c r="D28" s="51">
        <f>'Standard values'!D28</f>
        <v>0</v>
      </c>
      <c r="E28" s="51">
        <f>'Standard values'!E28</f>
        <v>0</v>
      </c>
      <c r="F28" s="51">
        <f>'Standard values'!F28</f>
        <v>0</v>
      </c>
      <c r="G28" s="51">
        <f>'Standard values'!G28</f>
        <v>0</v>
      </c>
      <c r="H28" s="52">
        <f t="shared" si="0"/>
        <v>0</v>
      </c>
      <c r="I28" s="52">
        <f t="shared" si="0"/>
        <v>0</v>
      </c>
      <c r="J28" s="53">
        <f t="shared" si="3"/>
        <v>0</v>
      </c>
      <c r="K28" s="54">
        <f t="shared" si="4"/>
        <v>0</v>
      </c>
      <c r="L28" s="55">
        <f t="shared" si="5"/>
        <v>0</v>
      </c>
      <c r="M28" s="55">
        <f t="shared" si="6"/>
        <v>0</v>
      </c>
      <c r="N28" s="55">
        <f t="shared" si="7"/>
        <v>0</v>
      </c>
      <c r="O28" s="53">
        <f t="shared" si="8"/>
        <v>0</v>
      </c>
      <c r="P28" s="54">
        <f t="shared" si="9"/>
        <v>0</v>
      </c>
      <c r="Q28" s="54">
        <f t="shared" si="1"/>
        <v>0</v>
      </c>
      <c r="R28" s="17">
        <v>50</v>
      </c>
      <c r="S28" s="17">
        <f>3.75/400</f>
        <v>0.009375</v>
      </c>
      <c r="T28" s="57">
        <f t="shared" si="2"/>
        <v>0.9375</v>
      </c>
      <c r="U28" s="17">
        <v>0.75</v>
      </c>
      <c r="V28" s="17" t="s">
        <v>369</v>
      </c>
      <c r="X28" s="58"/>
      <c r="Y28" s="58"/>
      <c r="Z28" s="59"/>
    </row>
    <row r="29" spans="1:26" s="17" customFormat="1" ht="30" customHeight="1">
      <c r="A29" s="18" t="s">
        <v>27</v>
      </c>
      <c r="B29" s="51">
        <f>'Standard values'!B29</f>
        <v>0</v>
      </c>
      <c r="C29" s="51">
        <f>'Standard values'!C29</f>
        <v>0</v>
      </c>
      <c r="D29" s="51">
        <f>'Standard values'!D29</f>
        <v>0</v>
      </c>
      <c r="E29" s="51">
        <f>'Standard values'!E29</f>
        <v>0</v>
      </c>
      <c r="F29" s="51">
        <f>'Standard values'!F29</f>
        <v>0</v>
      </c>
      <c r="G29" s="51">
        <f>'Standard values'!G29</f>
        <v>0</v>
      </c>
      <c r="H29" s="52">
        <f t="shared" si="0"/>
        <v>0</v>
      </c>
      <c r="I29" s="52">
        <f t="shared" si="0"/>
        <v>0</v>
      </c>
      <c r="J29" s="53">
        <f t="shared" si="3"/>
        <v>0</v>
      </c>
      <c r="K29" s="54">
        <f t="shared" si="4"/>
        <v>0</v>
      </c>
      <c r="L29" s="55">
        <f t="shared" si="5"/>
        <v>0</v>
      </c>
      <c r="M29" s="55">
        <f t="shared" si="6"/>
        <v>0</v>
      </c>
      <c r="N29" s="55">
        <f t="shared" si="7"/>
        <v>0</v>
      </c>
      <c r="O29" s="53">
        <f t="shared" si="8"/>
        <v>0</v>
      </c>
      <c r="P29" s="54">
        <f t="shared" si="9"/>
        <v>0</v>
      </c>
      <c r="Q29" s="54">
        <f t="shared" si="1"/>
        <v>0</v>
      </c>
      <c r="R29" s="17">
        <v>200</v>
      </c>
      <c r="S29" s="17">
        <f>(3.6/2)/116</f>
        <v>0.015517241379310345</v>
      </c>
      <c r="T29" s="57">
        <f t="shared" si="2"/>
        <v>1.5517241379310345</v>
      </c>
      <c r="U29" s="17">
        <v>0</v>
      </c>
      <c r="V29" s="17" t="s">
        <v>371</v>
      </c>
      <c r="X29" s="58"/>
      <c r="Y29" s="58"/>
      <c r="Z29" s="59"/>
    </row>
    <row r="30" spans="1:26" s="17" customFormat="1" ht="30" customHeight="1">
      <c r="A30" s="18" t="s">
        <v>28</v>
      </c>
      <c r="B30" s="51">
        <f>'Standard values'!B30</f>
        <v>0</v>
      </c>
      <c r="C30" s="51">
        <f>'Standard values'!C30</f>
        <v>0</v>
      </c>
      <c r="D30" s="51">
        <f>'Standard values'!D30</f>
        <v>0</v>
      </c>
      <c r="E30" s="51">
        <f>'Standard values'!E30</f>
        <v>0</v>
      </c>
      <c r="F30" s="51">
        <f>'Standard values'!F30</f>
        <v>0</v>
      </c>
      <c r="G30" s="51">
        <f>'Standard values'!G30</f>
        <v>0</v>
      </c>
      <c r="H30" s="52">
        <f t="shared" si="0"/>
        <v>0</v>
      </c>
      <c r="I30" s="52">
        <f t="shared" si="0"/>
        <v>0</v>
      </c>
      <c r="J30" s="53">
        <f t="shared" si="3"/>
        <v>0</v>
      </c>
      <c r="K30" s="54">
        <f t="shared" si="4"/>
        <v>0</v>
      </c>
      <c r="L30" s="55">
        <f t="shared" si="5"/>
        <v>0</v>
      </c>
      <c r="M30" s="55">
        <f t="shared" si="6"/>
        <v>0</v>
      </c>
      <c r="N30" s="55">
        <f t="shared" si="7"/>
        <v>0</v>
      </c>
      <c r="O30" s="53">
        <f t="shared" si="8"/>
        <v>0</v>
      </c>
      <c r="P30" s="54">
        <f t="shared" si="9"/>
        <v>0</v>
      </c>
      <c r="Q30" s="54">
        <f t="shared" si="1"/>
        <v>0</v>
      </c>
      <c r="R30" s="17">
        <v>30</v>
      </c>
      <c r="S30" s="17">
        <f>13.75/1000</f>
        <v>0.01375</v>
      </c>
      <c r="T30" s="57">
        <f t="shared" si="2"/>
        <v>1.375</v>
      </c>
      <c r="U30" s="17">
        <v>0</v>
      </c>
      <c r="V30" s="17" t="s">
        <v>188</v>
      </c>
      <c r="X30" s="58"/>
      <c r="Y30" s="58"/>
      <c r="Z30" s="59"/>
    </row>
    <row r="31" spans="1:26" s="17" customFormat="1" ht="30" customHeight="1">
      <c r="A31" s="18" t="s">
        <v>29</v>
      </c>
      <c r="B31" s="51">
        <f>'Standard values'!B31</f>
        <v>0</v>
      </c>
      <c r="C31" s="51">
        <f>'Standard values'!C31</f>
        <v>0</v>
      </c>
      <c r="D31" s="51">
        <f>'Standard values'!D31</f>
        <v>0</v>
      </c>
      <c r="E31" s="51">
        <f>'Standard values'!E31</f>
        <v>0</v>
      </c>
      <c r="F31" s="51">
        <f>'Standard values'!F31</f>
        <v>0</v>
      </c>
      <c r="G31" s="51">
        <f>'Standard values'!G31</f>
        <v>0</v>
      </c>
      <c r="H31" s="52">
        <f t="shared" si="0"/>
        <v>0</v>
      </c>
      <c r="I31" s="52">
        <f t="shared" si="0"/>
        <v>0</v>
      </c>
      <c r="J31" s="53">
        <f t="shared" si="3"/>
        <v>0</v>
      </c>
      <c r="K31" s="54">
        <f t="shared" si="4"/>
        <v>0</v>
      </c>
      <c r="L31" s="55">
        <f t="shared" si="5"/>
        <v>0</v>
      </c>
      <c r="M31" s="55">
        <f t="shared" si="6"/>
        <v>0</v>
      </c>
      <c r="N31" s="55">
        <f t="shared" si="7"/>
        <v>0</v>
      </c>
      <c r="O31" s="53">
        <f t="shared" si="8"/>
        <v>0</v>
      </c>
      <c r="P31" s="54">
        <f t="shared" si="9"/>
        <v>0</v>
      </c>
      <c r="Q31" s="54">
        <f t="shared" si="1"/>
        <v>0</v>
      </c>
      <c r="R31" s="17">
        <v>100</v>
      </c>
      <c r="S31" s="17">
        <f>1.6/100</f>
        <v>0.016</v>
      </c>
      <c r="T31" s="57">
        <f t="shared" si="2"/>
        <v>1.6</v>
      </c>
      <c r="U31" s="17">
        <v>0.25</v>
      </c>
      <c r="V31" s="17" t="s">
        <v>191</v>
      </c>
      <c r="X31" s="58"/>
      <c r="Y31" s="58"/>
      <c r="Z31" s="59"/>
    </row>
    <row r="32" spans="1:26" s="17" customFormat="1" ht="30" customHeight="1">
      <c r="A32" s="16" t="s">
        <v>31</v>
      </c>
      <c r="B32" s="51">
        <f>'Standard values'!B32</f>
        <v>0</v>
      </c>
      <c r="C32" s="51">
        <f>'Standard values'!C32</f>
        <v>0</v>
      </c>
      <c r="D32" s="51">
        <f>'Standard values'!D32</f>
        <v>0</v>
      </c>
      <c r="E32" s="51">
        <f>'Standard values'!E32</f>
        <v>0</v>
      </c>
      <c r="F32" s="51">
        <f>'Standard values'!F32</f>
        <v>0</v>
      </c>
      <c r="G32" s="51">
        <f>'Standard values'!G32</f>
        <v>0</v>
      </c>
      <c r="H32" s="52">
        <f t="shared" si="0"/>
        <v>0</v>
      </c>
      <c r="I32" s="52">
        <f t="shared" si="0"/>
        <v>0</v>
      </c>
      <c r="J32" s="53">
        <f t="shared" si="3"/>
        <v>0</v>
      </c>
      <c r="K32" s="54">
        <f t="shared" si="4"/>
        <v>0</v>
      </c>
      <c r="L32" s="55">
        <f t="shared" si="5"/>
        <v>0</v>
      </c>
      <c r="M32" s="55">
        <f t="shared" si="6"/>
        <v>0</v>
      </c>
      <c r="N32" s="55">
        <f t="shared" si="7"/>
        <v>0</v>
      </c>
      <c r="O32" s="53">
        <f t="shared" si="8"/>
        <v>0</v>
      </c>
      <c r="P32" s="54">
        <f t="shared" si="9"/>
        <v>0</v>
      </c>
      <c r="Q32" s="54">
        <f t="shared" si="1"/>
        <v>0</v>
      </c>
      <c r="R32" s="15">
        <v>100</v>
      </c>
      <c r="S32" s="17">
        <f>4.4/1000</f>
        <v>0.0044</v>
      </c>
      <c r="T32" s="57">
        <f t="shared" si="2"/>
        <v>0.44</v>
      </c>
      <c r="U32" s="17">
        <v>0</v>
      </c>
      <c r="V32" s="17" t="s">
        <v>194</v>
      </c>
      <c r="X32" s="58"/>
      <c r="Y32" s="58"/>
      <c r="Z32" s="59"/>
    </row>
    <row r="33" spans="1:26" s="17" customFormat="1" ht="30" customHeight="1">
      <c r="A33" s="16" t="s">
        <v>32</v>
      </c>
      <c r="B33" s="51">
        <f>'Standard values'!B33</f>
        <v>0</v>
      </c>
      <c r="C33" s="51">
        <f>'Standard values'!C33</f>
        <v>0</v>
      </c>
      <c r="D33" s="51">
        <f>'Standard values'!D33</f>
        <v>0</v>
      </c>
      <c r="E33" s="51">
        <f>'Standard values'!E33</f>
        <v>0</v>
      </c>
      <c r="F33" s="51">
        <f>'Standard values'!F33</f>
        <v>0</v>
      </c>
      <c r="G33" s="51">
        <f>'Standard values'!G33</f>
        <v>0</v>
      </c>
      <c r="H33" s="52">
        <f t="shared" si="0"/>
        <v>0</v>
      </c>
      <c r="I33" s="52">
        <f t="shared" si="0"/>
        <v>0</v>
      </c>
      <c r="J33" s="53">
        <f t="shared" si="3"/>
        <v>0</v>
      </c>
      <c r="K33" s="54">
        <f t="shared" si="4"/>
        <v>0</v>
      </c>
      <c r="L33" s="55">
        <f t="shared" si="5"/>
        <v>0</v>
      </c>
      <c r="M33" s="55">
        <f t="shared" si="6"/>
        <v>0</v>
      </c>
      <c r="N33" s="55">
        <f t="shared" si="7"/>
        <v>0</v>
      </c>
      <c r="O33" s="53">
        <f t="shared" si="8"/>
        <v>0</v>
      </c>
      <c r="P33" s="54">
        <f t="shared" si="9"/>
        <v>0</v>
      </c>
      <c r="Q33" s="54">
        <f t="shared" si="1"/>
        <v>0</v>
      </c>
      <c r="R33" s="15">
        <v>1</v>
      </c>
      <c r="S33" s="17">
        <f>20/1000</f>
        <v>0.02</v>
      </c>
      <c r="T33" s="57">
        <f t="shared" si="2"/>
        <v>2</v>
      </c>
      <c r="U33" s="15">
        <v>0.6</v>
      </c>
      <c r="V33" s="17" t="s">
        <v>198</v>
      </c>
      <c r="X33" s="58"/>
      <c r="Y33" s="58"/>
      <c r="Z33" s="59"/>
    </row>
    <row r="34" spans="1:26" s="17" customFormat="1" ht="30" customHeight="1">
      <c r="A34" s="16" t="s">
        <v>35</v>
      </c>
      <c r="B34" s="51">
        <f>'Standard values'!B34</f>
        <v>0</v>
      </c>
      <c r="C34" s="51">
        <f>'Standard values'!C34</f>
        <v>0</v>
      </c>
      <c r="D34" s="51">
        <f>'Standard values'!D34</f>
        <v>0</v>
      </c>
      <c r="E34" s="51">
        <f>'Standard values'!E34</f>
        <v>0</v>
      </c>
      <c r="F34" s="51">
        <f>'Standard values'!F34</f>
        <v>0</v>
      </c>
      <c r="G34" s="51">
        <f>'Standard values'!G34</f>
        <v>0</v>
      </c>
      <c r="H34" s="52">
        <f t="shared" si="0"/>
        <v>0</v>
      </c>
      <c r="I34" s="52">
        <f t="shared" si="0"/>
        <v>0</v>
      </c>
      <c r="J34" s="53">
        <f t="shared" si="3"/>
        <v>0</v>
      </c>
      <c r="K34" s="54">
        <f t="shared" si="4"/>
        <v>0</v>
      </c>
      <c r="L34" s="55">
        <f t="shared" si="5"/>
        <v>0</v>
      </c>
      <c r="M34" s="55">
        <f t="shared" si="6"/>
        <v>0</v>
      </c>
      <c r="N34" s="55">
        <f t="shared" si="7"/>
        <v>0</v>
      </c>
      <c r="O34" s="53">
        <f t="shared" si="8"/>
        <v>0</v>
      </c>
      <c r="P34" s="54">
        <f t="shared" si="9"/>
        <v>0</v>
      </c>
      <c r="Q34" s="54">
        <f t="shared" si="1"/>
        <v>0</v>
      </c>
      <c r="R34" s="15">
        <v>4</v>
      </c>
      <c r="S34" s="17">
        <f>3.16/100</f>
        <v>0.0316</v>
      </c>
      <c r="T34" s="57">
        <f t="shared" si="2"/>
        <v>3.16</v>
      </c>
      <c r="U34" s="15">
        <v>0.3</v>
      </c>
      <c r="V34" s="17" t="s">
        <v>198</v>
      </c>
      <c r="X34" s="58"/>
      <c r="Y34" s="58"/>
      <c r="Z34" s="59"/>
    </row>
    <row r="35" spans="1:26" s="17" customFormat="1" ht="30" customHeight="1">
      <c r="A35" s="16" t="s">
        <v>36</v>
      </c>
      <c r="B35" s="51">
        <f>'Standard values'!B35</f>
        <v>0</v>
      </c>
      <c r="C35" s="51">
        <f>'Standard values'!C35</f>
        <v>0</v>
      </c>
      <c r="D35" s="51">
        <f>'Standard values'!D35</f>
        <v>0</v>
      </c>
      <c r="E35" s="51">
        <f>'Standard values'!E35</f>
        <v>0</v>
      </c>
      <c r="F35" s="51">
        <f>'Standard values'!F35</f>
        <v>0</v>
      </c>
      <c r="G35" s="51">
        <f>'Standard values'!G35</f>
        <v>0</v>
      </c>
      <c r="H35" s="52">
        <f t="shared" si="0"/>
        <v>0</v>
      </c>
      <c r="I35" s="52">
        <f t="shared" si="0"/>
        <v>0</v>
      </c>
      <c r="J35" s="53">
        <f t="shared" si="3"/>
        <v>0</v>
      </c>
      <c r="K35" s="54">
        <f t="shared" si="4"/>
        <v>0</v>
      </c>
      <c r="L35" s="55">
        <f t="shared" si="5"/>
        <v>0</v>
      </c>
      <c r="M35" s="55">
        <f t="shared" si="6"/>
        <v>0</v>
      </c>
      <c r="N35" s="55">
        <f t="shared" si="7"/>
        <v>0</v>
      </c>
      <c r="O35" s="53">
        <f t="shared" si="8"/>
        <v>0</v>
      </c>
      <c r="P35" s="54">
        <f t="shared" si="9"/>
        <v>0</v>
      </c>
      <c r="Q35" s="54">
        <f t="shared" si="1"/>
        <v>0</v>
      </c>
      <c r="R35" s="15">
        <v>1</v>
      </c>
      <c r="S35" s="17">
        <f>2.3/125</f>
        <v>0.0184</v>
      </c>
      <c r="T35" s="57">
        <f t="shared" si="2"/>
        <v>1.8399999999999999</v>
      </c>
      <c r="U35" s="15">
        <v>0.9</v>
      </c>
      <c r="V35" s="17" t="s">
        <v>203</v>
      </c>
      <c r="X35" s="58"/>
      <c r="Y35" s="58"/>
      <c r="Z35" s="59"/>
    </row>
    <row r="36" spans="1:26" s="17" customFormat="1" ht="30" customHeight="1">
      <c r="A36" s="16" t="s">
        <v>37</v>
      </c>
      <c r="B36" s="51">
        <f>'Standard values'!B36</f>
        <v>0</v>
      </c>
      <c r="C36" s="51">
        <f>'Standard values'!C36</f>
        <v>0</v>
      </c>
      <c r="D36" s="51">
        <f>'Standard values'!D36</f>
        <v>0</v>
      </c>
      <c r="E36" s="51">
        <f>'Standard values'!E36</f>
        <v>0</v>
      </c>
      <c r="F36" s="51">
        <f>'Standard values'!F36</f>
        <v>0</v>
      </c>
      <c r="G36" s="51">
        <f>'Standard values'!G36</f>
        <v>0</v>
      </c>
      <c r="H36" s="52">
        <f t="shared" si="0"/>
        <v>0</v>
      </c>
      <c r="I36" s="52">
        <f t="shared" si="0"/>
        <v>0</v>
      </c>
      <c r="J36" s="53">
        <f t="shared" si="3"/>
        <v>0</v>
      </c>
      <c r="K36" s="54">
        <f t="shared" si="4"/>
        <v>0</v>
      </c>
      <c r="L36" s="55">
        <f t="shared" si="5"/>
        <v>0</v>
      </c>
      <c r="M36" s="55">
        <f t="shared" si="6"/>
        <v>0</v>
      </c>
      <c r="N36" s="55">
        <f t="shared" si="7"/>
        <v>0</v>
      </c>
      <c r="O36" s="53">
        <f t="shared" si="8"/>
        <v>0</v>
      </c>
      <c r="P36" s="54">
        <f t="shared" si="9"/>
        <v>0</v>
      </c>
      <c r="Q36" s="54">
        <f t="shared" si="1"/>
        <v>0</v>
      </c>
      <c r="R36" s="15">
        <v>1</v>
      </c>
      <c r="S36" s="17">
        <f>20/1000</f>
        <v>0.02</v>
      </c>
      <c r="T36" s="57">
        <f t="shared" si="2"/>
        <v>2</v>
      </c>
      <c r="U36" s="15">
        <v>0.25</v>
      </c>
      <c r="V36" s="17" t="s">
        <v>198</v>
      </c>
      <c r="X36" s="58"/>
      <c r="Y36" s="58"/>
      <c r="Z36" s="59"/>
    </row>
    <row r="37" spans="1:26" s="17" customFormat="1" ht="30" customHeight="1">
      <c r="A37" s="18" t="s">
        <v>38</v>
      </c>
      <c r="B37" s="51">
        <f>'Standard values'!B37</f>
        <v>0</v>
      </c>
      <c r="C37" s="51">
        <f>'Standard values'!C37</f>
        <v>0</v>
      </c>
      <c r="D37" s="51">
        <f>'Standard values'!D37</f>
        <v>0</v>
      </c>
      <c r="E37" s="51">
        <f>'Standard values'!E37</f>
        <v>0</v>
      </c>
      <c r="F37" s="51">
        <f>'Standard values'!F37</f>
        <v>0</v>
      </c>
      <c r="G37" s="51">
        <f>'Standard values'!G37</f>
        <v>0</v>
      </c>
      <c r="H37" s="52">
        <f t="shared" si="0"/>
        <v>0</v>
      </c>
      <c r="I37" s="52">
        <f t="shared" si="0"/>
        <v>0</v>
      </c>
      <c r="J37" s="53">
        <f t="shared" si="3"/>
        <v>0</v>
      </c>
      <c r="K37" s="54">
        <f t="shared" si="4"/>
        <v>0</v>
      </c>
      <c r="L37" s="55">
        <f t="shared" si="5"/>
        <v>0</v>
      </c>
      <c r="M37" s="55">
        <f t="shared" si="6"/>
        <v>0</v>
      </c>
      <c r="N37" s="55">
        <f t="shared" si="7"/>
        <v>0</v>
      </c>
      <c r="O37" s="53">
        <f t="shared" si="8"/>
        <v>0</v>
      </c>
      <c r="P37" s="54">
        <f t="shared" si="9"/>
        <v>0</v>
      </c>
      <c r="Q37" s="54">
        <f t="shared" si="1"/>
        <v>0</v>
      </c>
      <c r="R37" s="17">
        <v>1</v>
      </c>
      <c r="S37" s="17">
        <f>5/1000</f>
        <v>0.005</v>
      </c>
      <c r="T37" s="57">
        <f t="shared" si="2"/>
        <v>0.5</v>
      </c>
      <c r="U37" s="17">
        <v>0.1</v>
      </c>
      <c r="V37" s="17" t="s">
        <v>208</v>
      </c>
      <c r="W37" s="17" t="s">
        <v>209</v>
      </c>
      <c r="X37" s="58"/>
      <c r="Y37" s="58"/>
      <c r="Z37" s="59"/>
    </row>
    <row r="38" spans="1:26" s="17" customFormat="1" ht="30" customHeight="1">
      <c r="A38" s="60" t="s">
        <v>40</v>
      </c>
      <c r="B38" s="51">
        <f>'Standard values'!B38</f>
        <v>0</v>
      </c>
      <c r="C38" s="51">
        <f>'Standard values'!C38</f>
        <v>0</v>
      </c>
      <c r="D38" s="51">
        <f>'Standard values'!D38</f>
        <v>0</v>
      </c>
      <c r="E38" s="51">
        <f>'Standard values'!E38</f>
        <v>0</v>
      </c>
      <c r="F38" s="51">
        <f>'Standard values'!F38</f>
        <v>0</v>
      </c>
      <c r="G38" s="51">
        <f>'Standard values'!G38</f>
        <v>0</v>
      </c>
      <c r="H38" s="52">
        <f t="shared" si="0"/>
        <v>0</v>
      </c>
      <c r="I38" s="52">
        <f t="shared" si="0"/>
        <v>0</v>
      </c>
      <c r="J38" s="53">
        <f t="shared" si="3"/>
        <v>0</v>
      </c>
      <c r="K38" s="54">
        <f t="shared" si="4"/>
        <v>0</v>
      </c>
      <c r="L38" s="55">
        <f t="shared" si="5"/>
        <v>0</v>
      </c>
      <c r="M38" s="55">
        <f t="shared" si="6"/>
        <v>0</v>
      </c>
      <c r="N38" s="55">
        <f t="shared" si="7"/>
        <v>0</v>
      </c>
      <c r="O38" s="53">
        <f t="shared" si="8"/>
        <v>0</v>
      </c>
      <c r="P38" s="54">
        <f t="shared" si="9"/>
        <v>0</v>
      </c>
      <c r="Q38" s="54">
        <f t="shared" si="1"/>
        <v>0</v>
      </c>
      <c r="R38" s="61">
        <v>4</v>
      </c>
      <c r="S38" s="17">
        <f>22/1000</f>
        <v>0.022</v>
      </c>
      <c r="T38" s="57">
        <f t="shared" si="2"/>
        <v>2.1999999999999997</v>
      </c>
      <c r="U38" s="17">
        <v>0.3</v>
      </c>
      <c r="V38" s="17" t="s">
        <v>211</v>
      </c>
      <c r="X38" s="58"/>
      <c r="Y38" s="58"/>
      <c r="Z38" s="59"/>
    </row>
    <row r="39" spans="1:26" s="17" customFormat="1" ht="30" customHeight="1">
      <c r="A39" s="18" t="s">
        <v>42</v>
      </c>
      <c r="B39" s="51">
        <f>'Standard values'!B39</f>
        <v>0</v>
      </c>
      <c r="C39" s="51">
        <f>'Standard values'!C39</f>
        <v>0</v>
      </c>
      <c r="D39" s="51">
        <f>'Standard values'!D39</f>
        <v>0</v>
      </c>
      <c r="E39" s="51">
        <f>'Standard values'!E39</f>
        <v>0</v>
      </c>
      <c r="F39" s="51">
        <f>'Standard values'!F39</f>
        <v>0</v>
      </c>
      <c r="G39" s="51">
        <f>'Standard values'!G39</f>
        <v>0</v>
      </c>
      <c r="H39" s="52">
        <f t="shared" si="0"/>
        <v>0</v>
      </c>
      <c r="I39" s="52">
        <f t="shared" si="0"/>
        <v>0</v>
      </c>
      <c r="J39" s="53">
        <f t="shared" si="3"/>
        <v>0</v>
      </c>
      <c r="K39" s="54">
        <f t="shared" si="4"/>
        <v>0</v>
      </c>
      <c r="L39" s="55">
        <f t="shared" si="5"/>
        <v>0</v>
      </c>
      <c r="M39" s="55">
        <f t="shared" si="6"/>
        <v>0</v>
      </c>
      <c r="N39" s="55">
        <f t="shared" si="7"/>
        <v>0</v>
      </c>
      <c r="O39" s="53">
        <f t="shared" si="8"/>
        <v>0</v>
      </c>
      <c r="P39" s="54">
        <f t="shared" si="9"/>
        <v>0</v>
      </c>
      <c r="Q39" s="54">
        <f t="shared" si="1"/>
        <v>0</v>
      </c>
      <c r="R39" s="17">
        <v>15</v>
      </c>
      <c r="S39" s="17">
        <f>6.08/1000</f>
        <v>0.00608</v>
      </c>
      <c r="T39" s="57">
        <f t="shared" si="2"/>
        <v>0.608</v>
      </c>
      <c r="U39" s="17">
        <v>0.33</v>
      </c>
      <c r="V39" s="17" t="s">
        <v>214</v>
      </c>
      <c r="X39" s="58"/>
      <c r="Y39" s="58"/>
      <c r="Z39" s="59"/>
    </row>
    <row r="40" spans="1:32" s="17" customFormat="1" ht="30" customHeight="1">
      <c r="A40" s="18" t="s">
        <v>43</v>
      </c>
      <c r="B40" s="51">
        <f>'Standard values'!B40</f>
        <v>0</v>
      </c>
      <c r="C40" s="51">
        <f>'Standard values'!C40</f>
        <v>0</v>
      </c>
      <c r="D40" s="51">
        <f>'Standard values'!D40</f>
        <v>0</v>
      </c>
      <c r="E40" s="51">
        <f>'Standard values'!E40</f>
        <v>0</v>
      </c>
      <c r="F40" s="51">
        <f>'Standard values'!F40</f>
        <v>0</v>
      </c>
      <c r="G40" s="51">
        <f>'Standard values'!G40</f>
        <v>0</v>
      </c>
      <c r="H40" s="52">
        <f aca="true" t="shared" si="10" ref="H40:I55">P40</f>
        <v>0</v>
      </c>
      <c r="I40" s="52">
        <f t="shared" si="10"/>
        <v>0</v>
      </c>
      <c r="J40" s="53">
        <f t="shared" si="3"/>
        <v>0</v>
      </c>
      <c r="K40" s="54">
        <f t="shared" si="4"/>
        <v>0</v>
      </c>
      <c r="L40" s="55">
        <f t="shared" si="5"/>
        <v>0</v>
      </c>
      <c r="M40" s="55">
        <f t="shared" si="6"/>
        <v>0</v>
      </c>
      <c r="N40" s="55">
        <f t="shared" si="7"/>
        <v>0</v>
      </c>
      <c r="O40" s="53">
        <f t="shared" si="8"/>
        <v>0</v>
      </c>
      <c r="P40" s="54">
        <f t="shared" si="9"/>
        <v>0</v>
      </c>
      <c r="Q40" s="54">
        <f t="shared" si="1"/>
        <v>0</v>
      </c>
      <c r="R40" s="17">
        <v>250</v>
      </c>
      <c r="S40" s="17">
        <f>4.29/1000</f>
        <v>0.00429</v>
      </c>
      <c r="T40" s="57">
        <f t="shared" si="2"/>
        <v>0.42900000000000005</v>
      </c>
      <c r="U40" s="17">
        <v>0</v>
      </c>
      <c r="V40" s="58" t="s">
        <v>218</v>
      </c>
      <c r="X40" s="58"/>
      <c r="Y40" s="58"/>
      <c r="Z40" s="59"/>
      <c r="AD40" s="58"/>
      <c r="AE40" s="58"/>
      <c r="AF40" s="58"/>
    </row>
    <row r="41" spans="1:32" s="17" customFormat="1" ht="30" customHeight="1">
      <c r="A41" s="18" t="s">
        <v>44</v>
      </c>
      <c r="B41" s="51">
        <f>'Standard values'!B41</f>
        <v>0</v>
      </c>
      <c r="C41" s="51">
        <f>'Standard values'!C41</f>
        <v>0</v>
      </c>
      <c r="D41" s="51">
        <f>'Standard values'!D41</f>
        <v>0</v>
      </c>
      <c r="E41" s="51">
        <f>'Standard values'!E41</f>
        <v>0</v>
      </c>
      <c r="F41" s="51">
        <f>'Standard values'!F41</f>
        <v>0</v>
      </c>
      <c r="G41" s="51">
        <f>'Standard values'!G41</f>
        <v>0</v>
      </c>
      <c r="H41" s="52">
        <f t="shared" si="10"/>
        <v>0</v>
      </c>
      <c r="I41" s="52">
        <f t="shared" si="10"/>
        <v>0</v>
      </c>
      <c r="J41" s="53">
        <f t="shared" si="3"/>
        <v>0</v>
      </c>
      <c r="K41" s="54">
        <f t="shared" si="4"/>
        <v>0</v>
      </c>
      <c r="L41" s="55">
        <f t="shared" si="5"/>
        <v>0</v>
      </c>
      <c r="M41" s="55">
        <f t="shared" si="6"/>
        <v>0</v>
      </c>
      <c r="N41" s="55">
        <f t="shared" si="7"/>
        <v>0</v>
      </c>
      <c r="O41" s="53">
        <f t="shared" si="8"/>
        <v>0</v>
      </c>
      <c r="P41" s="54">
        <f t="shared" si="9"/>
        <v>0</v>
      </c>
      <c r="Q41" s="54">
        <f t="shared" si="1"/>
        <v>0</v>
      </c>
      <c r="R41" s="17">
        <v>30</v>
      </c>
      <c r="S41" s="17">
        <f>13/1000</f>
        <v>0.013</v>
      </c>
      <c r="T41" s="57">
        <f t="shared" si="2"/>
        <v>1.3</v>
      </c>
      <c r="U41" s="17">
        <v>0</v>
      </c>
      <c r="V41" s="58" t="s">
        <v>220</v>
      </c>
      <c r="X41" s="58"/>
      <c r="Y41" s="58"/>
      <c r="Z41" s="59"/>
      <c r="AD41" s="58"/>
      <c r="AE41" s="58"/>
      <c r="AF41" s="58"/>
    </row>
    <row r="42" spans="1:32" s="17" customFormat="1" ht="30" customHeight="1">
      <c r="A42" s="18" t="s">
        <v>45</v>
      </c>
      <c r="B42" s="51">
        <f>'Standard values'!B42</f>
        <v>0</v>
      </c>
      <c r="C42" s="51">
        <f>'Standard values'!C42</f>
        <v>0</v>
      </c>
      <c r="D42" s="51">
        <f>'Standard values'!D42</f>
        <v>0</v>
      </c>
      <c r="E42" s="51">
        <f>'Standard values'!E42</f>
        <v>0</v>
      </c>
      <c r="F42" s="51">
        <f>'Standard values'!F42</f>
        <v>0</v>
      </c>
      <c r="G42" s="51">
        <f>'Standard values'!G42</f>
        <v>0</v>
      </c>
      <c r="H42" s="52">
        <f t="shared" si="10"/>
        <v>0</v>
      </c>
      <c r="I42" s="52">
        <f t="shared" si="10"/>
        <v>0</v>
      </c>
      <c r="J42" s="53">
        <f t="shared" si="3"/>
        <v>0</v>
      </c>
      <c r="K42" s="54">
        <f t="shared" si="4"/>
        <v>0</v>
      </c>
      <c r="L42" s="55">
        <f t="shared" si="5"/>
        <v>0</v>
      </c>
      <c r="M42" s="55">
        <f t="shared" si="6"/>
        <v>0</v>
      </c>
      <c r="N42" s="55">
        <f t="shared" si="7"/>
        <v>0</v>
      </c>
      <c r="O42" s="53">
        <f t="shared" si="8"/>
        <v>0</v>
      </c>
      <c r="P42" s="54">
        <f t="shared" si="9"/>
        <v>0</v>
      </c>
      <c r="Q42" s="54">
        <f t="shared" si="1"/>
        <v>0</v>
      </c>
      <c r="R42" s="15">
        <v>10</v>
      </c>
      <c r="S42" s="17">
        <f>2.3/500</f>
        <v>0.0046</v>
      </c>
      <c r="T42" s="57">
        <f t="shared" si="2"/>
        <v>0.45999999999999996</v>
      </c>
      <c r="U42" s="17">
        <v>0</v>
      </c>
      <c r="V42" s="58" t="s">
        <v>222</v>
      </c>
      <c r="X42" s="58"/>
      <c r="Y42" s="58"/>
      <c r="Z42" s="59"/>
      <c r="AD42" s="58"/>
      <c r="AE42" s="58"/>
      <c r="AF42" s="58"/>
    </row>
    <row r="43" spans="1:32" s="17" customFormat="1" ht="30" customHeight="1">
      <c r="A43" s="18" t="s">
        <v>46</v>
      </c>
      <c r="B43" s="51">
        <f>'Standard values'!B43</f>
        <v>0</v>
      </c>
      <c r="C43" s="51">
        <f>'Standard values'!C43</f>
        <v>0</v>
      </c>
      <c r="D43" s="51">
        <f>'Standard values'!D43</f>
        <v>0</v>
      </c>
      <c r="E43" s="51">
        <f>'Standard values'!E43</f>
        <v>0</v>
      </c>
      <c r="F43" s="51">
        <f>'Standard values'!F43</f>
        <v>0</v>
      </c>
      <c r="G43" s="51">
        <f>'Standard values'!G43</f>
        <v>0</v>
      </c>
      <c r="H43" s="52">
        <f t="shared" si="10"/>
        <v>0</v>
      </c>
      <c r="I43" s="52">
        <f t="shared" si="10"/>
        <v>0</v>
      </c>
      <c r="J43" s="53">
        <f t="shared" si="3"/>
        <v>0</v>
      </c>
      <c r="K43" s="54">
        <f t="shared" si="4"/>
        <v>0</v>
      </c>
      <c r="L43" s="55">
        <f t="shared" si="5"/>
        <v>0</v>
      </c>
      <c r="M43" s="55">
        <f t="shared" si="6"/>
        <v>0</v>
      </c>
      <c r="N43" s="55">
        <f t="shared" si="7"/>
        <v>0</v>
      </c>
      <c r="O43" s="53">
        <f t="shared" si="8"/>
        <v>0</v>
      </c>
      <c r="P43" s="54">
        <f t="shared" si="9"/>
        <v>0</v>
      </c>
      <c r="Q43" s="54">
        <f t="shared" si="1"/>
        <v>0</v>
      </c>
      <c r="R43" s="17">
        <v>5</v>
      </c>
      <c r="S43" s="17">
        <f>2.65/400</f>
        <v>0.006625</v>
      </c>
      <c r="T43" s="57">
        <f t="shared" si="2"/>
        <v>0.6625</v>
      </c>
      <c r="U43" s="15">
        <v>0.5</v>
      </c>
      <c r="V43" s="58" t="s">
        <v>223</v>
      </c>
      <c r="X43" s="58"/>
      <c r="Y43" s="58"/>
      <c r="Z43" s="59"/>
      <c r="AD43" s="58"/>
      <c r="AE43" s="58"/>
      <c r="AF43" s="58"/>
    </row>
    <row r="44" spans="1:32" s="17" customFormat="1" ht="30" customHeight="1">
      <c r="A44" s="18" t="s">
        <v>48</v>
      </c>
      <c r="B44" s="51">
        <f>'Standard values'!B44</f>
        <v>0</v>
      </c>
      <c r="C44" s="51">
        <f>'Standard values'!C44</f>
        <v>0</v>
      </c>
      <c r="D44" s="51">
        <f>'Standard values'!D44</f>
        <v>0</v>
      </c>
      <c r="E44" s="51">
        <f>'Standard values'!E44</f>
        <v>0</v>
      </c>
      <c r="F44" s="51">
        <f>'Standard values'!F44</f>
        <v>0</v>
      </c>
      <c r="G44" s="51">
        <f>'Standard values'!G44</f>
        <v>0</v>
      </c>
      <c r="H44" s="52">
        <f t="shared" si="10"/>
        <v>0</v>
      </c>
      <c r="I44" s="52">
        <f t="shared" si="10"/>
        <v>0</v>
      </c>
      <c r="J44" s="53">
        <f t="shared" si="3"/>
        <v>0</v>
      </c>
      <c r="K44" s="54">
        <f t="shared" si="4"/>
        <v>0</v>
      </c>
      <c r="L44" s="55">
        <f t="shared" si="5"/>
        <v>0</v>
      </c>
      <c r="M44" s="55">
        <f t="shared" si="6"/>
        <v>0</v>
      </c>
      <c r="N44" s="55">
        <f t="shared" si="7"/>
        <v>0</v>
      </c>
      <c r="O44" s="53">
        <f t="shared" si="8"/>
        <v>0</v>
      </c>
      <c r="P44" s="54">
        <f t="shared" si="9"/>
        <v>0</v>
      </c>
      <c r="Q44" s="54">
        <f t="shared" si="1"/>
        <v>0</v>
      </c>
      <c r="R44" s="17">
        <v>200</v>
      </c>
      <c r="S44" s="17">
        <f>1.5/200</f>
        <v>0.0075</v>
      </c>
      <c r="T44" s="57">
        <f t="shared" si="2"/>
        <v>0.75</v>
      </c>
      <c r="U44" s="17">
        <v>0</v>
      </c>
      <c r="V44" s="58" t="s">
        <v>227</v>
      </c>
      <c r="X44" s="58"/>
      <c r="Y44" s="58"/>
      <c r="Z44" s="59"/>
      <c r="AD44" s="58"/>
      <c r="AE44" s="58"/>
      <c r="AF44" s="58"/>
    </row>
    <row r="45" spans="1:32" s="17" customFormat="1" ht="30" customHeight="1">
      <c r="A45" s="18" t="s">
        <v>49</v>
      </c>
      <c r="B45" s="51">
        <f>'Standard values'!B45</f>
        <v>0</v>
      </c>
      <c r="C45" s="51">
        <f>'Standard values'!C45</f>
        <v>0</v>
      </c>
      <c r="D45" s="51">
        <f>'Standard values'!D45</f>
        <v>0</v>
      </c>
      <c r="E45" s="51">
        <f>'Standard values'!E45</f>
        <v>0</v>
      </c>
      <c r="F45" s="51">
        <f>'Standard values'!F45</f>
        <v>0</v>
      </c>
      <c r="G45" s="51">
        <f>'Standard values'!G45</f>
        <v>0</v>
      </c>
      <c r="H45" s="52">
        <f t="shared" si="10"/>
        <v>0</v>
      </c>
      <c r="I45" s="52">
        <f t="shared" si="10"/>
        <v>0</v>
      </c>
      <c r="J45" s="53">
        <f t="shared" si="3"/>
        <v>0</v>
      </c>
      <c r="K45" s="54">
        <f t="shared" si="4"/>
        <v>0</v>
      </c>
      <c r="L45" s="55">
        <f t="shared" si="5"/>
        <v>0</v>
      </c>
      <c r="M45" s="55">
        <f t="shared" si="6"/>
        <v>0</v>
      </c>
      <c r="N45" s="55">
        <f t="shared" si="7"/>
        <v>0</v>
      </c>
      <c r="O45" s="53">
        <f t="shared" si="8"/>
        <v>0</v>
      </c>
      <c r="P45" s="54">
        <f t="shared" si="9"/>
        <v>0</v>
      </c>
      <c r="Q45" s="54">
        <f t="shared" si="1"/>
        <v>0</v>
      </c>
      <c r="R45" s="15">
        <v>5</v>
      </c>
      <c r="S45" s="17">
        <f>4/100</f>
        <v>0.04</v>
      </c>
      <c r="T45" s="57">
        <f t="shared" si="2"/>
        <v>4</v>
      </c>
      <c r="U45" s="17">
        <v>0.25</v>
      </c>
      <c r="V45" s="58" t="s">
        <v>228</v>
      </c>
      <c r="X45" s="58"/>
      <c r="Y45" s="58"/>
      <c r="Z45" s="59"/>
      <c r="AD45" s="58"/>
      <c r="AE45" s="58"/>
      <c r="AF45" s="58"/>
    </row>
    <row r="46" spans="1:32" s="17" customFormat="1" ht="30" customHeight="1">
      <c r="A46" s="16" t="s">
        <v>50</v>
      </c>
      <c r="B46" s="51">
        <f>'Standard values'!B46</f>
        <v>0</v>
      </c>
      <c r="C46" s="51">
        <f>'Standard values'!C46</f>
        <v>0</v>
      </c>
      <c r="D46" s="51">
        <f>'Standard values'!D46</f>
        <v>0</v>
      </c>
      <c r="E46" s="51">
        <f>'Standard values'!E46</f>
        <v>0</v>
      </c>
      <c r="F46" s="51">
        <f>'Standard values'!F46</f>
        <v>0</v>
      </c>
      <c r="G46" s="51">
        <f>'Standard values'!G46</f>
        <v>0</v>
      </c>
      <c r="H46" s="52">
        <f t="shared" si="10"/>
        <v>0</v>
      </c>
      <c r="I46" s="52">
        <f t="shared" si="10"/>
        <v>0</v>
      </c>
      <c r="J46" s="53">
        <f t="shared" si="3"/>
        <v>0</v>
      </c>
      <c r="K46" s="54">
        <f t="shared" si="4"/>
        <v>0</v>
      </c>
      <c r="L46" s="55">
        <f t="shared" si="5"/>
        <v>0</v>
      </c>
      <c r="M46" s="55">
        <f t="shared" si="6"/>
        <v>0</v>
      </c>
      <c r="N46" s="55">
        <f t="shared" si="7"/>
        <v>0</v>
      </c>
      <c r="O46" s="53">
        <f t="shared" si="8"/>
        <v>0</v>
      </c>
      <c r="P46" s="54">
        <f t="shared" si="9"/>
        <v>0</v>
      </c>
      <c r="Q46" s="54">
        <f t="shared" si="1"/>
        <v>0</v>
      </c>
      <c r="R46" s="17">
        <v>60</v>
      </c>
      <c r="S46" s="17">
        <f>1.75/1000</f>
        <v>0.00175</v>
      </c>
      <c r="T46" s="57">
        <f t="shared" si="2"/>
        <v>0.17500000000000002</v>
      </c>
      <c r="U46" s="17">
        <v>0</v>
      </c>
      <c r="V46" s="58" t="s">
        <v>231</v>
      </c>
      <c r="X46" s="58"/>
      <c r="Y46" s="58"/>
      <c r="Z46" s="59"/>
      <c r="AD46" s="58"/>
      <c r="AE46" s="58"/>
      <c r="AF46" s="58"/>
    </row>
    <row r="47" spans="1:32" s="17" customFormat="1" ht="30" customHeight="1">
      <c r="A47" s="18" t="s">
        <v>51</v>
      </c>
      <c r="B47" s="51">
        <f>'Standard values'!B47</f>
        <v>0</v>
      </c>
      <c r="C47" s="51">
        <f>'Standard values'!C47</f>
        <v>0</v>
      </c>
      <c r="D47" s="51">
        <f>'Standard values'!D47</f>
        <v>0</v>
      </c>
      <c r="E47" s="51">
        <f>'Standard values'!E47</f>
        <v>0</v>
      </c>
      <c r="F47" s="51">
        <f>'Standard values'!F47</f>
        <v>0</v>
      </c>
      <c r="G47" s="51">
        <f>'Standard values'!G47</f>
        <v>0</v>
      </c>
      <c r="H47" s="52">
        <f t="shared" si="10"/>
        <v>0</v>
      </c>
      <c r="I47" s="52">
        <f t="shared" si="10"/>
        <v>0</v>
      </c>
      <c r="J47" s="53">
        <f t="shared" si="3"/>
        <v>0</v>
      </c>
      <c r="K47" s="54">
        <f t="shared" si="4"/>
        <v>0</v>
      </c>
      <c r="L47" s="55">
        <f t="shared" si="5"/>
        <v>0</v>
      </c>
      <c r="M47" s="55">
        <f t="shared" si="6"/>
        <v>0</v>
      </c>
      <c r="N47" s="55">
        <f t="shared" si="7"/>
        <v>0</v>
      </c>
      <c r="O47" s="53">
        <f t="shared" si="8"/>
        <v>0</v>
      </c>
      <c r="P47" s="54">
        <f t="shared" si="9"/>
        <v>0</v>
      </c>
      <c r="Q47" s="54">
        <f t="shared" si="1"/>
        <v>0</v>
      </c>
      <c r="R47" s="17">
        <v>600</v>
      </c>
      <c r="S47" s="17">
        <f>2.95/600</f>
        <v>0.004916666666666667</v>
      </c>
      <c r="T47" s="57">
        <f t="shared" si="2"/>
        <v>0.49166666666666675</v>
      </c>
      <c r="U47" s="17">
        <v>0</v>
      </c>
      <c r="V47" s="58" t="s">
        <v>372</v>
      </c>
      <c r="X47" s="58"/>
      <c r="Y47" s="58"/>
      <c r="Z47" s="59"/>
      <c r="AD47" s="58"/>
      <c r="AE47" s="58"/>
      <c r="AF47" s="58"/>
    </row>
    <row r="48" spans="1:32" s="17" customFormat="1" ht="30" customHeight="1">
      <c r="A48" s="18" t="s">
        <v>52</v>
      </c>
      <c r="B48" s="51">
        <f>'Standard values'!B48</f>
        <v>0</v>
      </c>
      <c r="C48" s="51">
        <f>'Standard values'!C48</f>
        <v>0</v>
      </c>
      <c r="D48" s="51">
        <f>'Standard values'!D48</f>
        <v>0</v>
      </c>
      <c r="E48" s="51">
        <f>'Standard values'!E48</f>
        <v>0</v>
      </c>
      <c r="F48" s="51">
        <f>'Standard values'!F48</f>
        <v>0</v>
      </c>
      <c r="G48" s="51">
        <f>'Standard values'!G48</f>
        <v>0</v>
      </c>
      <c r="H48" s="52">
        <f t="shared" si="10"/>
        <v>0</v>
      </c>
      <c r="I48" s="52">
        <f t="shared" si="10"/>
        <v>0</v>
      </c>
      <c r="J48" s="53">
        <f t="shared" si="3"/>
        <v>0</v>
      </c>
      <c r="K48" s="54">
        <f t="shared" si="4"/>
        <v>0</v>
      </c>
      <c r="L48" s="55">
        <f t="shared" si="5"/>
        <v>0</v>
      </c>
      <c r="M48" s="55">
        <f t="shared" si="6"/>
        <v>0</v>
      </c>
      <c r="N48" s="55">
        <f t="shared" si="7"/>
        <v>0</v>
      </c>
      <c r="O48" s="53">
        <f t="shared" si="8"/>
        <v>0</v>
      </c>
      <c r="P48" s="54">
        <f t="shared" si="9"/>
        <v>0</v>
      </c>
      <c r="Q48" s="54">
        <f t="shared" si="1"/>
        <v>0</v>
      </c>
      <c r="R48" s="17">
        <v>450</v>
      </c>
      <c r="S48" s="17">
        <f>1.3/450</f>
        <v>0.002888888888888889</v>
      </c>
      <c r="T48" s="57">
        <f t="shared" si="2"/>
        <v>0.2888888888888889</v>
      </c>
      <c r="U48" s="17">
        <v>0</v>
      </c>
      <c r="V48" s="58" t="s">
        <v>234</v>
      </c>
      <c r="X48" s="58"/>
      <c r="Y48" s="58"/>
      <c r="Z48" s="59"/>
      <c r="AD48" s="58"/>
      <c r="AE48" s="58"/>
      <c r="AF48" s="58"/>
    </row>
    <row r="49" spans="1:32" s="17" customFormat="1" ht="30" customHeight="1">
      <c r="A49" s="18" t="s">
        <v>53</v>
      </c>
      <c r="B49" s="51">
        <f>'Standard values'!B49</f>
        <v>0</v>
      </c>
      <c r="C49" s="51">
        <f>'Standard values'!C49</f>
        <v>0</v>
      </c>
      <c r="D49" s="51">
        <f>'Standard values'!D49</f>
        <v>0</v>
      </c>
      <c r="E49" s="51">
        <f>'Standard values'!E49</f>
        <v>0</v>
      </c>
      <c r="F49" s="51">
        <f>'Standard values'!F49</f>
        <v>0</v>
      </c>
      <c r="G49" s="51">
        <f>'Standard values'!G49</f>
        <v>0</v>
      </c>
      <c r="H49" s="52">
        <f t="shared" si="10"/>
        <v>0</v>
      </c>
      <c r="I49" s="52">
        <f t="shared" si="10"/>
        <v>0</v>
      </c>
      <c r="J49" s="53">
        <f t="shared" si="3"/>
        <v>0</v>
      </c>
      <c r="K49" s="54">
        <f t="shared" si="4"/>
        <v>0</v>
      </c>
      <c r="L49" s="55">
        <f t="shared" si="5"/>
        <v>0</v>
      </c>
      <c r="M49" s="55">
        <f t="shared" si="6"/>
        <v>0</v>
      </c>
      <c r="N49" s="55">
        <f t="shared" si="7"/>
        <v>0</v>
      </c>
      <c r="O49" s="53">
        <f t="shared" si="8"/>
        <v>0</v>
      </c>
      <c r="P49" s="54">
        <f t="shared" si="9"/>
        <v>0</v>
      </c>
      <c r="Q49" s="54">
        <f t="shared" si="1"/>
        <v>0</v>
      </c>
      <c r="R49" s="15">
        <v>1</v>
      </c>
      <c r="S49" s="17">
        <f>2.55/250</f>
        <v>0.010199999999999999</v>
      </c>
      <c r="T49" s="57">
        <f t="shared" si="2"/>
        <v>1.0199999999999998</v>
      </c>
      <c r="U49" s="17">
        <v>0</v>
      </c>
      <c r="V49" s="58" t="s">
        <v>236</v>
      </c>
      <c r="X49" s="58"/>
      <c r="Y49" s="58"/>
      <c r="Z49" s="59"/>
      <c r="AD49" s="58"/>
      <c r="AE49" s="58"/>
      <c r="AF49" s="58"/>
    </row>
    <row r="50" spans="1:32" s="17" customFormat="1" ht="30" customHeight="1">
      <c r="A50" s="16" t="s">
        <v>54</v>
      </c>
      <c r="B50" s="51">
        <f>'Standard values'!B50</f>
        <v>0</v>
      </c>
      <c r="C50" s="51">
        <f>'Standard values'!C50</f>
        <v>0</v>
      </c>
      <c r="D50" s="51">
        <f>'Standard values'!D50</f>
        <v>0</v>
      </c>
      <c r="E50" s="51">
        <f>'Standard values'!E50</f>
        <v>0</v>
      </c>
      <c r="F50" s="51">
        <f>'Standard values'!F50</f>
        <v>0</v>
      </c>
      <c r="G50" s="51">
        <f>'Standard values'!G50</f>
        <v>0</v>
      </c>
      <c r="H50" s="52">
        <f t="shared" si="10"/>
        <v>0</v>
      </c>
      <c r="I50" s="52">
        <f t="shared" si="10"/>
        <v>0</v>
      </c>
      <c r="J50" s="53">
        <f t="shared" si="3"/>
        <v>0</v>
      </c>
      <c r="K50" s="54">
        <f t="shared" si="4"/>
        <v>0</v>
      </c>
      <c r="L50" s="55">
        <f t="shared" si="5"/>
        <v>0</v>
      </c>
      <c r="M50" s="55">
        <f t="shared" si="6"/>
        <v>0</v>
      </c>
      <c r="N50" s="55">
        <f t="shared" si="7"/>
        <v>0</v>
      </c>
      <c r="O50" s="53">
        <f t="shared" si="8"/>
        <v>0</v>
      </c>
      <c r="P50" s="54">
        <f t="shared" si="9"/>
        <v>0</v>
      </c>
      <c r="Q50" s="54">
        <f t="shared" si="1"/>
        <v>0</v>
      </c>
      <c r="R50" s="15">
        <v>5</v>
      </c>
      <c r="S50" s="17">
        <f>2.95/250</f>
        <v>0.011800000000000001</v>
      </c>
      <c r="T50" s="57">
        <f t="shared" si="2"/>
        <v>1.1800000000000002</v>
      </c>
      <c r="U50" s="15">
        <v>0.9</v>
      </c>
      <c r="V50" s="58" t="s">
        <v>237</v>
      </c>
      <c r="X50" s="58"/>
      <c r="Y50" s="58"/>
      <c r="Z50" s="59"/>
      <c r="AD50" s="58"/>
      <c r="AE50" s="58"/>
      <c r="AF50" s="58"/>
    </row>
    <row r="51" spans="1:32" s="17" customFormat="1" ht="30" customHeight="1">
      <c r="A51" s="16" t="s">
        <v>55</v>
      </c>
      <c r="B51" s="51">
        <f>'Standard values'!B51</f>
        <v>0</v>
      </c>
      <c r="C51" s="51">
        <f>'Standard values'!C51</f>
        <v>0</v>
      </c>
      <c r="D51" s="51">
        <f>'Standard values'!D51</f>
        <v>0</v>
      </c>
      <c r="E51" s="51">
        <f>'Standard values'!E51</f>
        <v>0</v>
      </c>
      <c r="F51" s="51">
        <f>'Standard values'!F51</f>
        <v>0</v>
      </c>
      <c r="G51" s="51">
        <f>'Standard values'!G51</f>
        <v>0</v>
      </c>
      <c r="H51" s="52">
        <f t="shared" si="10"/>
        <v>0</v>
      </c>
      <c r="I51" s="52">
        <f t="shared" si="10"/>
        <v>0</v>
      </c>
      <c r="J51" s="53">
        <f t="shared" si="3"/>
        <v>0</v>
      </c>
      <c r="K51" s="54">
        <f t="shared" si="4"/>
        <v>0</v>
      </c>
      <c r="L51" s="55">
        <f t="shared" si="5"/>
        <v>0</v>
      </c>
      <c r="M51" s="55">
        <f t="shared" si="6"/>
        <v>0</v>
      </c>
      <c r="N51" s="55">
        <f t="shared" si="7"/>
        <v>0</v>
      </c>
      <c r="O51" s="53">
        <f t="shared" si="8"/>
        <v>0</v>
      </c>
      <c r="P51" s="54">
        <f t="shared" si="9"/>
        <v>0</v>
      </c>
      <c r="Q51" s="54">
        <f t="shared" si="1"/>
        <v>0</v>
      </c>
      <c r="R51" s="17">
        <v>10</v>
      </c>
      <c r="S51" s="17">
        <f>2.5/150</f>
        <v>0.016666666666666666</v>
      </c>
      <c r="T51" s="57">
        <f t="shared" si="2"/>
        <v>1.6666666666666667</v>
      </c>
      <c r="U51" s="15">
        <v>0.25</v>
      </c>
      <c r="V51" s="58" t="s">
        <v>239</v>
      </c>
      <c r="X51" s="58"/>
      <c r="Y51" s="58"/>
      <c r="Z51" s="59"/>
      <c r="AD51" s="58"/>
      <c r="AE51" s="58"/>
      <c r="AF51" s="58"/>
    </row>
    <row r="52" spans="1:32" s="17" customFormat="1" ht="30" customHeight="1">
      <c r="A52" s="18" t="s">
        <v>56</v>
      </c>
      <c r="B52" s="51">
        <f>'Standard values'!B52</f>
        <v>0</v>
      </c>
      <c r="C52" s="51">
        <f>'Standard values'!C52</f>
        <v>0</v>
      </c>
      <c r="D52" s="51">
        <f>'Standard values'!D52</f>
        <v>0</v>
      </c>
      <c r="E52" s="51">
        <f>'Standard values'!E52</f>
        <v>0</v>
      </c>
      <c r="F52" s="51">
        <f>'Standard values'!F52</f>
        <v>0</v>
      </c>
      <c r="G52" s="51">
        <f>'Standard values'!G52</f>
        <v>0</v>
      </c>
      <c r="H52" s="52">
        <f t="shared" si="10"/>
        <v>0</v>
      </c>
      <c r="I52" s="52">
        <f t="shared" si="10"/>
        <v>0</v>
      </c>
      <c r="J52" s="53">
        <f t="shared" si="3"/>
        <v>0</v>
      </c>
      <c r="K52" s="54">
        <f t="shared" si="4"/>
        <v>0</v>
      </c>
      <c r="L52" s="55">
        <f t="shared" si="5"/>
        <v>0</v>
      </c>
      <c r="M52" s="55">
        <f t="shared" si="6"/>
        <v>0</v>
      </c>
      <c r="N52" s="55">
        <f t="shared" si="7"/>
        <v>0</v>
      </c>
      <c r="O52" s="53">
        <f t="shared" si="8"/>
        <v>0</v>
      </c>
      <c r="P52" s="54">
        <f t="shared" si="9"/>
        <v>0</v>
      </c>
      <c r="Q52" s="54">
        <f t="shared" si="1"/>
        <v>0</v>
      </c>
      <c r="R52" s="17">
        <v>125</v>
      </c>
      <c r="S52" s="17">
        <f>(2.6/2)/125</f>
        <v>0.0104</v>
      </c>
      <c r="T52" s="57">
        <f t="shared" si="2"/>
        <v>1.04</v>
      </c>
      <c r="U52" s="17">
        <v>0</v>
      </c>
      <c r="V52" s="58" t="s">
        <v>243</v>
      </c>
      <c r="X52" s="58"/>
      <c r="Y52" s="58"/>
      <c r="Z52" s="59"/>
      <c r="AD52" s="58"/>
      <c r="AE52" s="58"/>
      <c r="AF52" s="58"/>
    </row>
    <row r="53" spans="1:32" s="17" customFormat="1" ht="30" customHeight="1">
      <c r="A53" s="18" t="s">
        <v>57</v>
      </c>
      <c r="B53" s="51">
        <f>'Standard values'!B53</f>
        <v>0</v>
      </c>
      <c r="C53" s="51">
        <f>'Standard values'!C53</f>
        <v>0</v>
      </c>
      <c r="D53" s="51">
        <f>'Standard values'!D53</f>
        <v>0</v>
      </c>
      <c r="E53" s="51">
        <f>'Standard values'!E53</f>
        <v>0</v>
      </c>
      <c r="F53" s="51">
        <f>'Standard values'!F53</f>
        <v>0</v>
      </c>
      <c r="G53" s="51">
        <f>'Standard values'!G53</f>
        <v>0</v>
      </c>
      <c r="H53" s="52">
        <f t="shared" si="10"/>
        <v>0</v>
      </c>
      <c r="I53" s="52">
        <f t="shared" si="10"/>
        <v>0</v>
      </c>
      <c r="J53" s="53">
        <f t="shared" si="3"/>
        <v>0</v>
      </c>
      <c r="K53" s="54">
        <f t="shared" si="4"/>
        <v>0</v>
      </c>
      <c r="L53" s="55">
        <f t="shared" si="5"/>
        <v>0</v>
      </c>
      <c r="M53" s="55">
        <f t="shared" si="6"/>
        <v>0</v>
      </c>
      <c r="N53" s="55">
        <f t="shared" si="7"/>
        <v>0</v>
      </c>
      <c r="O53" s="53">
        <f t="shared" si="8"/>
        <v>0</v>
      </c>
      <c r="P53" s="54">
        <f t="shared" si="9"/>
        <v>0</v>
      </c>
      <c r="Q53" s="54">
        <f t="shared" si="1"/>
        <v>0</v>
      </c>
      <c r="R53" s="17">
        <v>20</v>
      </c>
      <c r="S53" s="17">
        <f>34/1000</f>
        <v>0.034</v>
      </c>
      <c r="T53" s="57">
        <f t="shared" si="2"/>
        <v>3.4000000000000004</v>
      </c>
      <c r="U53" s="17">
        <v>0.1</v>
      </c>
      <c r="V53" s="58" t="s">
        <v>245</v>
      </c>
      <c r="X53" s="58"/>
      <c r="Y53" s="58"/>
      <c r="Z53" s="59"/>
      <c r="AD53" s="58"/>
      <c r="AE53" s="58"/>
      <c r="AF53" s="58"/>
    </row>
    <row r="54" spans="1:32" s="17" customFormat="1" ht="30" customHeight="1">
      <c r="A54" s="18" t="s">
        <v>58</v>
      </c>
      <c r="B54" s="51">
        <f>'Standard values'!B54</f>
        <v>0</v>
      </c>
      <c r="C54" s="51">
        <f>'Standard values'!C54</f>
        <v>0</v>
      </c>
      <c r="D54" s="51">
        <f>'Standard values'!D54</f>
        <v>0</v>
      </c>
      <c r="E54" s="51">
        <f>'Standard values'!E54</f>
        <v>0</v>
      </c>
      <c r="F54" s="51">
        <f>'Standard values'!F54</f>
        <v>0</v>
      </c>
      <c r="G54" s="51">
        <f>'Standard values'!G54</f>
        <v>0</v>
      </c>
      <c r="H54" s="52">
        <f t="shared" si="10"/>
        <v>0</v>
      </c>
      <c r="I54" s="52">
        <f t="shared" si="10"/>
        <v>0</v>
      </c>
      <c r="J54" s="53">
        <f t="shared" si="3"/>
        <v>0</v>
      </c>
      <c r="K54" s="54">
        <f t="shared" si="4"/>
        <v>0</v>
      </c>
      <c r="L54" s="55">
        <f t="shared" si="5"/>
        <v>0</v>
      </c>
      <c r="M54" s="55">
        <f t="shared" si="6"/>
        <v>0</v>
      </c>
      <c r="N54" s="55">
        <f t="shared" si="7"/>
        <v>0</v>
      </c>
      <c r="O54" s="53">
        <f t="shared" si="8"/>
        <v>0</v>
      </c>
      <c r="P54" s="54">
        <f t="shared" si="9"/>
        <v>0</v>
      </c>
      <c r="Q54" s="54">
        <f t="shared" si="1"/>
        <v>0</v>
      </c>
      <c r="S54" s="17">
        <f>1.95/30</f>
        <v>0.065</v>
      </c>
      <c r="T54" s="57">
        <f t="shared" si="2"/>
        <v>6.5</v>
      </c>
      <c r="U54" s="17">
        <v>0</v>
      </c>
      <c r="V54" s="58" t="s">
        <v>247</v>
      </c>
      <c r="X54" s="58"/>
      <c r="Y54" s="58"/>
      <c r="Z54" s="59"/>
      <c r="AD54" s="58"/>
      <c r="AE54" s="58"/>
      <c r="AF54" s="58"/>
    </row>
    <row r="55" spans="1:32" s="17" customFormat="1" ht="30" customHeight="1">
      <c r="A55" s="18" t="s">
        <v>59</v>
      </c>
      <c r="B55" s="51">
        <f>'Standard values'!B55</f>
        <v>0</v>
      </c>
      <c r="C55" s="51">
        <f>'Standard values'!C55</f>
        <v>0</v>
      </c>
      <c r="D55" s="51">
        <f>'Standard values'!D55</f>
        <v>0</v>
      </c>
      <c r="E55" s="51">
        <f>'Standard values'!E55</f>
        <v>0</v>
      </c>
      <c r="F55" s="51">
        <f>'Standard values'!F55</f>
        <v>0</v>
      </c>
      <c r="G55" s="51">
        <f>'Standard values'!G55</f>
        <v>0</v>
      </c>
      <c r="H55" s="52">
        <f t="shared" si="10"/>
        <v>0</v>
      </c>
      <c r="I55" s="52">
        <f t="shared" si="10"/>
        <v>0</v>
      </c>
      <c r="J55" s="53">
        <f t="shared" si="3"/>
        <v>0</v>
      </c>
      <c r="K55" s="54">
        <f t="shared" si="4"/>
        <v>0</v>
      </c>
      <c r="L55" s="55">
        <f t="shared" si="5"/>
        <v>0</v>
      </c>
      <c r="M55" s="55">
        <f t="shared" si="6"/>
        <v>0</v>
      </c>
      <c r="N55" s="55">
        <f>G55*30</f>
        <v>0</v>
      </c>
      <c r="O55" s="53">
        <f t="shared" si="8"/>
        <v>0</v>
      </c>
      <c r="P55" s="54">
        <f t="shared" si="9"/>
        <v>0</v>
      </c>
      <c r="Q55" s="54">
        <f t="shared" si="1"/>
        <v>0</v>
      </c>
      <c r="R55" s="15"/>
      <c r="S55" s="17">
        <f>0.925/10</f>
        <v>0.0925</v>
      </c>
      <c r="T55" s="57">
        <f t="shared" si="2"/>
        <v>9.25</v>
      </c>
      <c r="U55" s="17">
        <v>0</v>
      </c>
      <c r="V55" s="58" t="s">
        <v>248</v>
      </c>
      <c r="W55" s="17" t="s">
        <v>250</v>
      </c>
      <c r="X55" s="58"/>
      <c r="Y55" s="58"/>
      <c r="Z55" s="59"/>
      <c r="AD55" s="58"/>
      <c r="AE55" s="58"/>
      <c r="AF55" s="58"/>
    </row>
    <row r="56" spans="1:32" s="17" customFormat="1" ht="30" customHeight="1">
      <c r="A56" s="16" t="s">
        <v>60</v>
      </c>
      <c r="B56" s="51">
        <f>'Standard values'!B56</f>
        <v>0</v>
      </c>
      <c r="C56" s="51">
        <f>'Standard values'!C56</f>
        <v>0</v>
      </c>
      <c r="D56" s="51">
        <f>'Standard values'!D56</f>
        <v>0</v>
      </c>
      <c r="E56" s="51">
        <f>'Standard values'!E56</f>
        <v>0</v>
      </c>
      <c r="F56" s="51">
        <f>'Standard values'!F56</f>
        <v>0</v>
      </c>
      <c r="G56" s="51">
        <f>'Standard values'!G56</f>
        <v>0</v>
      </c>
      <c r="H56" s="52">
        <f aca="true" t="shared" si="11" ref="H56:I71">P56</f>
        <v>0</v>
      </c>
      <c r="I56" s="52">
        <f t="shared" si="11"/>
        <v>0</v>
      </c>
      <c r="J56" s="53">
        <f t="shared" si="3"/>
        <v>0</v>
      </c>
      <c r="K56" s="54">
        <f t="shared" si="4"/>
        <v>0</v>
      </c>
      <c r="L56" s="55">
        <f t="shared" si="5"/>
        <v>0</v>
      </c>
      <c r="M56" s="55">
        <f t="shared" si="6"/>
        <v>0</v>
      </c>
      <c r="N56" s="55">
        <f t="shared" si="7"/>
        <v>0</v>
      </c>
      <c r="O56" s="53">
        <f t="shared" si="8"/>
        <v>0</v>
      </c>
      <c r="P56" s="54">
        <f t="shared" si="9"/>
        <v>0</v>
      </c>
      <c r="Q56" s="54">
        <f t="shared" si="1"/>
        <v>0</v>
      </c>
      <c r="R56" s="17">
        <v>200</v>
      </c>
      <c r="S56" s="17">
        <f>7.34/1000</f>
        <v>0.00734</v>
      </c>
      <c r="T56" s="57">
        <f t="shared" si="2"/>
        <v>0.734</v>
      </c>
      <c r="U56" s="15">
        <v>1</v>
      </c>
      <c r="V56" s="58" t="s">
        <v>252</v>
      </c>
      <c r="X56" s="58"/>
      <c r="Y56" s="58"/>
      <c r="Z56" s="59"/>
      <c r="AD56" s="58"/>
      <c r="AE56" s="58"/>
      <c r="AF56" s="58"/>
    </row>
    <row r="57" spans="1:32" s="17" customFormat="1" ht="30" customHeight="1">
      <c r="A57" s="18" t="s">
        <v>61</v>
      </c>
      <c r="B57" s="51">
        <f>'Standard values'!B57</f>
        <v>0</v>
      </c>
      <c r="C57" s="51">
        <f>'Standard values'!C57</f>
        <v>0</v>
      </c>
      <c r="D57" s="51">
        <f>'Standard values'!D57</f>
        <v>0</v>
      </c>
      <c r="E57" s="51">
        <f>'Standard values'!E57</f>
        <v>0</v>
      </c>
      <c r="F57" s="51">
        <f>'Standard values'!F57</f>
        <v>0</v>
      </c>
      <c r="G57" s="51">
        <f>'Standard values'!G57</f>
        <v>0</v>
      </c>
      <c r="H57" s="52">
        <f t="shared" si="11"/>
        <v>0</v>
      </c>
      <c r="I57" s="52">
        <f t="shared" si="11"/>
        <v>0</v>
      </c>
      <c r="J57" s="53">
        <f t="shared" si="3"/>
        <v>0</v>
      </c>
      <c r="K57" s="54">
        <f t="shared" si="4"/>
        <v>0</v>
      </c>
      <c r="L57" s="55">
        <f t="shared" si="5"/>
        <v>0</v>
      </c>
      <c r="M57" s="55">
        <f t="shared" si="6"/>
        <v>0</v>
      </c>
      <c r="N57" s="55">
        <f t="shared" si="7"/>
        <v>0</v>
      </c>
      <c r="O57" s="53">
        <f t="shared" si="8"/>
        <v>0</v>
      </c>
      <c r="P57" s="54">
        <f t="shared" si="9"/>
        <v>0</v>
      </c>
      <c r="Q57" s="54">
        <f t="shared" si="1"/>
        <v>0</v>
      </c>
      <c r="R57" s="17">
        <v>20</v>
      </c>
      <c r="S57" s="17">
        <f>5.71/100</f>
        <v>0.0571</v>
      </c>
      <c r="T57" s="57">
        <f t="shared" si="2"/>
        <v>5.71</v>
      </c>
      <c r="U57" s="17">
        <v>1</v>
      </c>
      <c r="V57" s="67" t="s">
        <v>253</v>
      </c>
      <c r="X57" s="58"/>
      <c r="Y57" s="58"/>
      <c r="Z57" s="59"/>
      <c r="AD57" s="58"/>
      <c r="AE57" s="58"/>
      <c r="AF57" s="58"/>
    </row>
    <row r="58" spans="1:32" s="17" customFormat="1" ht="30" customHeight="1">
      <c r="A58" s="18" t="s">
        <v>62</v>
      </c>
      <c r="B58" s="51">
        <f>'Standard values'!B58</f>
        <v>0</v>
      </c>
      <c r="C58" s="51">
        <f>'Standard values'!C58</f>
        <v>0</v>
      </c>
      <c r="D58" s="51">
        <f>'Standard values'!D58</f>
        <v>0</v>
      </c>
      <c r="E58" s="51">
        <f>'Standard values'!E58</f>
        <v>0</v>
      </c>
      <c r="F58" s="51">
        <f>'Standard values'!F58</f>
        <v>0</v>
      </c>
      <c r="G58" s="51">
        <f>'Standard values'!G58</f>
        <v>0</v>
      </c>
      <c r="H58" s="52">
        <f t="shared" si="11"/>
        <v>0</v>
      </c>
      <c r="I58" s="52">
        <f t="shared" si="11"/>
        <v>0</v>
      </c>
      <c r="J58" s="53">
        <f t="shared" si="3"/>
        <v>0</v>
      </c>
      <c r="K58" s="54">
        <f t="shared" si="4"/>
        <v>0</v>
      </c>
      <c r="L58" s="55">
        <f t="shared" si="5"/>
        <v>0</v>
      </c>
      <c r="M58" s="55">
        <f t="shared" si="6"/>
        <v>0</v>
      </c>
      <c r="N58" s="55">
        <f t="shared" si="7"/>
        <v>0</v>
      </c>
      <c r="O58" s="53">
        <f t="shared" si="8"/>
        <v>0</v>
      </c>
      <c r="P58" s="54">
        <f t="shared" si="9"/>
        <v>0</v>
      </c>
      <c r="Q58" s="54">
        <f t="shared" si="1"/>
        <v>0</v>
      </c>
      <c r="R58" s="17">
        <v>1</v>
      </c>
      <c r="S58" s="17">
        <f>2.77/100</f>
        <v>0.0277</v>
      </c>
      <c r="T58" s="57">
        <f t="shared" si="2"/>
        <v>2.77</v>
      </c>
      <c r="U58" s="15">
        <v>1</v>
      </c>
      <c r="V58" s="58" t="s">
        <v>255</v>
      </c>
      <c r="X58" s="58"/>
      <c r="Y58" s="58"/>
      <c r="Z58" s="59"/>
      <c r="AD58" s="58"/>
      <c r="AE58" s="58"/>
      <c r="AF58" s="58"/>
    </row>
    <row r="59" spans="1:32" s="17" customFormat="1" ht="30" customHeight="1">
      <c r="A59" s="16" t="s">
        <v>63</v>
      </c>
      <c r="B59" s="51">
        <f>'Standard values'!B59</f>
        <v>0</v>
      </c>
      <c r="C59" s="51">
        <f>'Standard values'!C59</f>
        <v>0</v>
      </c>
      <c r="D59" s="51">
        <f>'Standard values'!D59</f>
        <v>0</v>
      </c>
      <c r="E59" s="51">
        <f>'Standard values'!E59</f>
        <v>0</v>
      </c>
      <c r="F59" s="51">
        <f>'Standard values'!F59</f>
        <v>0</v>
      </c>
      <c r="G59" s="51">
        <f>'Standard values'!G59</f>
        <v>0</v>
      </c>
      <c r="H59" s="52">
        <f t="shared" si="11"/>
        <v>0</v>
      </c>
      <c r="I59" s="52">
        <f t="shared" si="11"/>
        <v>0</v>
      </c>
      <c r="J59" s="53">
        <f t="shared" si="3"/>
        <v>0</v>
      </c>
      <c r="K59" s="54">
        <f t="shared" si="4"/>
        <v>0</v>
      </c>
      <c r="L59" s="55">
        <f t="shared" si="5"/>
        <v>0</v>
      </c>
      <c r="M59" s="55">
        <f t="shared" si="6"/>
        <v>0</v>
      </c>
      <c r="N59" s="55">
        <f t="shared" si="7"/>
        <v>0</v>
      </c>
      <c r="O59" s="53">
        <f t="shared" si="8"/>
        <v>0</v>
      </c>
      <c r="P59" s="54">
        <f t="shared" si="9"/>
        <v>0</v>
      </c>
      <c r="Q59" s="54">
        <f t="shared" si="1"/>
        <v>0</v>
      </c>
      <c r="R59" s="17">
        <v>300</v>
      </c>
      <c r="S59" s="17">
        <f>1.4/300</f>
        <v>0.004666666666666666</v>
      </c>
      <c r="T59" s="57">
        <f t="shared" si="2"/>
        <v>0.4666666666666666</v>
      </c>
      <c r="U59" s="15">
        <v>0.9</v>
      </c>
      <c r="V59" s="58" t="s">
        <v>258</v>
      </c>
      <c r="X59" s="58"/>
      <c r="Y59" s="58"/>
      <c r="Z59" s="59"/>
      <c r="AD59" s="58"/>
      <c r="AE59" s="58"/>
      <c r="AF59" s="58"/>
    </row>
    <row r="60" spans="1:32" s="17" customFormat="1" ht="30" customHeight="1">
      <c r="A60" s="18" t="s">
        <v>64</v>
      </c>
      <c r="B60" s="51">
        <f>'Standard values'!B60</f>
        <v>0</v>
      </c>
      <c r="C60" s="51">
        <f>'Standard values'!C60</f>
        <v>0</v>
      </c>
      <c r="D60" s="51">
        <f>'Standard values'!D60</f>
        <v>0</v>
      </c>
      <c r="E60" s="51">
        <f>'Standard values'!E60</f>
        <v>0</v>
      </c>
      <c r="F60" s="51">
        <f>'Standard values'!F60</f>
        <v>0</v>
      </c>
      <c r="G60" s="51">
        <f>'Standard values'!G60</f>
        <v>0</v>
      </c>
      <c r="H60" s="52">
        <f t="shared" si="11"/>
        <v>0</v>
      </c>
      <c r="I60" s="52">
        <f t="shared" si="11"/>
        <v>0</v>
      </c>
      <c r="J60" s="53">
        <f t="shared" si="3"/>
        <v>0</v>
      </c>
      <c r="K60" s="54">
        <f t="shared" si="4"/>
        <v>0</v>
      </c>
      <c r="L60" s="55">
        <f t="shared" si="5"/>
        <v>0</v>
      </c>
      <c r="M60" s="55">
        <f t="shared" si="6"/>
        <v>0</v>
      </c>
      <c r="N60" s="55">
        <f t="shared" si="7"/>
        <v>0</v>
      </c>
      <c r="O60" s="53">
        <f t="shared" si="8"/>
        <v>0</v>
      </c>
      <c r="P60" s="54">
        <f t="shared" si="9"/>
        <v>0</v>
      </c>
      <c r="Q60" s="54">
        <f t="shared" si="1"/>
        <v>0</v>
      </c>
      <c r="R60" s="15">
        <v>170</v>
      </c>
      <c r="S60" s="17">
        <f>1.3/170</f>
        <v>0.007647058823529412</v>
      </c>
      <c r="T60" s="57">
        <f t="shared" si="2"/>
        <v>0.7647058823529412</v>
      </c>
      <c r="U60" s="17">
        <v>0</v>
      </c>
      <c r="V60" s="58" t="s">
        <v>260</v>
      </c>
      <c r="X60" s="58"/>
      <c r="Y60" s="58"/>
      <c r="Z60" s="59"/>
      <c r="AD60" s="58"/>
      <c r="AE60" s="58"/>
      <c r="AF60" s="58"/>
    </row>
    <row r="61" spans="1:32" s="17" customFormat="1" ht="30" customHeight="1">
      <c r="A61" s="16" t="s">
        <v>65</v>
      </c>
      <c r="B61" s="51">
        <f>'Standard values'!B61</f>
        <v>0</v>
      </c>
      <c r="C61" s="51">
        <f>'Standard values'!C61</f>
        <v>0</v>
      </c>
      <c r="D61" s="51">
        <f>'Standard values'!D61</f>
        <v>0</v>
      </c>
      <c r="E61" s="51">
        <f>'Standard values'!E61</f>
        <v>0</v>
      </c>
      <c r="F61" s="51">
        <f>'Standard values'!F61</f>
        <v>0</v>
      </c>
      <c r="G61" s="51">
        <f>'Standard values'!G61</f>
        <v>0</v>
      </c>
      <c r="H61" s="52">
        <f t="shared" si="11"/>
        <v>0</v>
      </c>
      <c r="I61" s="52">
        <f t="shared" si="11"/>
        <v>0</v>
      </c>
      <c r="J61" s="53">
        <f t="shared" si="3"/>
        <v>0</v>
      </c>
      <c r="K61" s="54">
        <f t="shared" si="4"/>
        <v>0</v>
      </c>
      <c r="L61" s="55">
        <f t="shared" si="5"/>
        <v>0</v>
      </c>
      <c r="M61" s="55">
        <f t="shared" si="6"/>
        <v>0</v>
      </c>
      <c r="N61" s="55">
        <f t="shared" si="7"/>
        <v>0</v>
      </c>
      <c r="O61" s="53">
        <f t="shared" si="8"/>
        <v>0</v>
      </c>
      <c r="P61" s="54">
        <f t="shared" si="9"/>
        <v>0</v>
      </c>
      <c r="Q61" s="54">
        <f t="shared" si="1"/>
        <v>0</v>
      </c>
      <c r="R61" s="15">
        <v>5</v>
      </c>
      <c r="S61" s="17">
        <f>2.65/400</f>
        <v>0.006625</v>
      </c>
      <c r="T61" s="57">
        <f t="shared" si="2"/>
        <v>0.6625</v>
      </c>
      <c r="U61" s="15">
        <v>0.5</v>
      </c>
      <c r="V61" s="58" t="s">
        <v>223</v>
      </c>
      <c r="X61" s="58"/>
      <c r="Y61" s="58"/>
      <c r="Z61" s="59"/>
      <c r="AD61" s="58"/>
      <c r="AE61" s="58"/>
      <c r="AF61" s="58"/>
    </row>
    <row r="62" spans="1:32" s="17" customFormat="1" ht="30" customHeight="1">
      <c r="A62" s="16" t="s">
        <v>67</v>
      </c>
      <c r="B62" s="51">
        <f>'Standard values'!B62</f>
        <v>0</v>
      </c>
      <c r="C62" s="51">
        <f>'Standard values'!C62</f>
        <v>0</v>
      </c>
      <c r="D62" s="51">
        <f>'Standard values'!D62</f>
        <v>0</v>
      </c>
      <c r="E62" s="51">
        <f>'Standard values'!E62</f>
        <v>0</v>
      </c>
      <c r="F62" s="51">
        <f>'Standard values'!F62</f>
        <v>0</v>
      </c>
      <c r="G62" s="51">
        <f>'Standard values'!G62</f>
        <v>0</v>
      </c>
      <c r="H62" s="52">
        <f t="shared" si="11"/>
        <v>0</v>
      </c>
      <c r="I62" s="52">
        <f t="shared" si="11"/>
        <v>0</v>
      </c>
      <c r="J62" s="53">
        <f t="shared" si="3"/>
        <v>0</v>
      </c>
      <c r="K62" s="54">
        <f t="shared" si="4"/>
        <v>0</v>
      </c>
      <c r="L62" s="55">
        <f t="shared" si="5"/>
        <v>0</v>
      </c>
      <c r="M62" s="55">
        <f t="shared" si="6"/>
        <v>0</v>
      </c>
      <c r="N62" s="55">
        <f t="shared" si="7"/>
        <v>0</v>
      </c>
      <c r="O62" s="53">
        <f t="shared" si="8"/>
        <v>0</v>
      </c>
      <c r="P62" s="54">
        <f t="shared" si="9"/>
        <v>0</v>
      </c>
      <c r="Q62" s="54">
        <f t="shared" si="1"/>
        <v>0</v>
      </c>
      <c r="R62" s="17">
        <v>1</v>
      </c>
      <c r="S62" s="17">
        <f>7.18/100</f>
        <v>0.0718</v>
      </c>
      <c r="T62" s="57">
        <f t="shared" si="2"/>
        <v>7.180000000000001</v>
      </c>
      <c r="U62" s="15">
        <v>0.25</v>
      </c>
      <c r="V62" s="17" t="s">
        <v>262</v>
      </c>
      <c r="W62" s="17" t="s">
        <v>261</v>
      </c>
      <c r="X62" s="58"/>
      <c r="Y62" s="58"/>
      <c r="Z62" s="59"/>
      <c r="AD62" s="58"/>
      <c r="AE62" s="58"/>
      <c r="AF62" s="58"/>
    </row>
    <row r="63" spans="1:32" s="17" customFormat="1" ht="30" customHeight="1">
      <c r="A63" s="18" t="s">
        <v>68</v>
      </c>
      <c r="B63" s="51">
        <f>'Standard values'!B63</f>
        <v>0</v>
      </c>
      <c r="C63" s="51">
        <f>'Standard values'!C63</f>
        <v>0</v>
      </c>
      <c r="D63" s="51">
        <f>'Standard values'!D63</f>
        <v>0</v>
      </c>
      <c r="E63" s="51">
        <f>'Standard values'!E63</f>
        <v>0</v>
      </c>
      <c r="F63" s="51">
        <f>'Standard values'!F63</f>
        <v>0</v>
      </c>
      <c r="G63" s="51">
        <f>'Standard values'!G63</f>
        <v>0</v>
      </c>
      <c r="H63" s="52">
        <f t="shared" si="11"/>
        <v>0</v>
      </c>
      <c r="I63" s="52">
        <f t="shared" si="11"/>
        <v>0</v>
      </c>
      <c r="J63" s="53">
        <f t="shared" si="3"/>
        <v>0</v>
      </c>
      <c r="K63" s="54">
        <f t="shared" si="4"/>
        <v>0</v>
      </c>
      <c r="L63" s="55">
        <f t="shared" si="5"/>
        <v>0</v>
      </c>
      <c r="M63" s="55">
        <f t="shared" si="6"/>
        <v>0</v>
      </c>
      <c r="N63" s="55">
        <f t="shared" si="7"/>
        <v>0</v>
      </c>
      <c r="O63" s="53">
        <f t="shared" si="8"/>
        <v>0</v>
      </c>
      <c r="P63" s="54">
        <f t="shared" si="9"/>
        <v>0</v>
      </c>
      <c r="Q63" s="54">
        <f t="shared" si="1"/>
        <v>0</v>
      </c>
      <c r="R63" s="15">
        <v>300</v>
      </c>
      <c r="S63" s="17">
        <f>0.875/100</f>
        <v>0.00875</v>
      </c>
      <c r="T63" s="57">
        <f t="shared" si="2"/>
        <v>0.8750000000000001</v>
      </c>
      <c r="U63" s="17">
        <v>0</v>
      </c>
      <c r="V63" s="58" t="s">
        <v>265</v>
      </c>
      <c r="X63" s="58"/>
      <c r="Y63" s="58"/>
      <c r="Z63" s="59"/>
      <c r="AD63" s="58"/>
      <c r="AE63" s="58"/>
      <c r="AF63" s="58"/>
    </row>
    <row r="64" spans="1:32" s="17" customFormat="1" ht="30" customHeight="1">
      <c r="A64" s="16" t="s">
        <v>69</v>
      </c>
      <c r="B64" s="51">
        <f>'Standard values'!B64</f>
        <v>0</v>
      </c>
      <c r="C64" s="51">
        <f>'Standard values'!C64</f>
        <v>0</v>
      </c>
      <c r="D64" s="51">
        <f>'Standard values'!D64</f>
        <v>0</v>
      </c>
      <c r="E64" s="51">
        <f>'Standard values'!E64</f>
        <v>0</v>
      </c>
      <c r="F64" s="51">
        <f>'Standard values'!F64</f>
        <v>0</v>
      </c>
      <c r="G64" s="51">
        <f>'Standard values'!G64</f>
        <v>0</v>
      </c>
      <c r="H64" s="52">
        <f t="shared" si="11"/>
        <v>0</v>
      </c>
      <c r="I64" s="52">
        <f t="shared" si="11"/>
        <v>0</v>
      </c>
      <c r="J64" s="53">
        <f t="shared" si="3"/>
        <v>0</v>
      </c>
      <c r="K64" s="54">
        <f t="shared" si="4"/>
        <v>0</v>
      </c>
      <c r="L64" s="55">
        <f t="shared" si="5"/>
        <v>0</v>
      </c>
      <c r="M64" s="55">
        <f t="shared" si="6"/>
        <v>0</v>
      </c>
      <c r="N64" s="55">
        <f t="shared" si="7"/>
        <v>0</v>
      </c>
      <c r="O64" s="53">
        <f t="shared" si="8"/>
        <v>0</v>
      </c>
      <c r="P64" s="54">
        <f t="shared" si="9"/>
        <v>0</v>
      </c>
      <c r="Q64" s="54">
        <f t="shared" si="1"/>
        <v>0</v>
      </c>
      <c r="R64" s="17">
        <f>330/6</f>
        <v>55</v>
      </c>
      <c r="S64" s="17">
        <f>26.43/1000</f>
        <v>0.02643</v>
      </c>
      <c r="T64" s="57">
        <f t="shared" si="2"/>
        <v>2.643</v>
      </c>
      <c r="U64" s="15">
        <v>0</v>
      </c>
      <c r="V64" s="58" t="s">
        <v>266</v>
      </c>
      <c r="X64" s="58"/>
      <c r="Y64" s="58"/>
      <c r="Z64" s="59"/>
      <c r="AD64" s="58"/>
      <c r="AE64" s="58"/>
      <c r="AF64" s="58"/>
    </row>
    <row r="65" spans="1:32" s="17" customFormat="1" ht="30" customHeight="1">
      <c r="A65" s="16" t="s">
        <v>70</v>
      </c>
      <c r="B65" s="51">
        <f>'Standard values'!B65</f>
        <v>0</v>
      </c>
      <c r="C65" s="51">
        <f>'Standard values'!C65</f>
        <v>0</v>
      </c>
      <c r="D65" s="51">
        <f>'Standard values'!D65</f>
        <v>0</v>
      </c>
      <c r="E65" s="51">
        <f>'Standard values'!E65</f>
        <v>0</v>
      </c>
      <c r="F65" s="51">
        <f>'Standard values'!F65</f>
        <v>0</v>
      </c>
      <c r="G65" s="51">
        <f>'Standard values'!G65</f>
        <v>0</v>
      </c>
      <c r="H65" s="52">
        <f t="shared" si="11"/>
        <v>0</v>
      </c>
      <c r="I65" s="52">
        <f t="shared" si="11"/>
        <v>0</v>
      </c>
      <c r="J65" s="53">
        <f t="shared" si="3"/>
        <v>0</v>
      </c>
      <c r="K65" s="54">
        <f t="shared" si="4"/>
        <v>0</v>
      </c>
      <c r="L65" s="55">
        <f t="shared" si="5"/>
        <v>0</v>
      </c>
      <c r="M65" s="55">
        <f t="shared" si="6"/>
        <v>0</v>
      </c>
      <c r="N65" s="55">
        <f>G65*30</f>
        <v>0</v>
      </c>
      <c r="O65" s="53">
        <f t="shared" si="8"/>
        <v>0</v>
      </c>
      <c r="P65" s="54">
        <f t="shared" si="9"/>
        <v>0</v>
      </c>
      <c r="Q65" s="54">
        <f t="shared" si="1"/>
        <v>0</v>
      </c>
      <c r="S65" s="17">
        <f>2.05/30</f>
        <v>0.06833333333333333</v>
      </c>
      <c r="T65" s="57">
        <f t="shared" si="2"/>
        <v>6.833333333333333</v>
      </c>
      <c r="U65" s="15">
        <v>0</v>
      </c>
      <c r="V65" s="58" t="s">
        <v>373</v>
      </c>
      <c r="X65" s="58"/>
      <c r="Y65" s="58"/>
      <c r="Z65" s="59"/>
      <c r="AD65" s="58"/>
      <c r="AE65" s="58"/>
      <c r="AF65" s="58"/>
    </row>
    <row r="66" spans="1:32" s="17" customFormat="1" ht="30" customHeight="1">
      <c r="A66" s="18" t="s">
        <v>71</v>
      </c>
      <c r="B66" s="51">
        <f>'Standard values'!B66</f>
        <v>0</v>
      </c>
      <c r="C66" s="51">
        <f>'Standard values'!C66</f>
        <v>0</v>
      </c>
      <c r="D66" s="51">
        <f>'Standard values'!D66</f>
        <v>0</v>
      </c>
      <c r="E66" s="51">
        <f>'Standard values'!E66</f>
        <v>0</v>
      </c>
      <c r="F66" s="51">
        <f>'Standard values'!F66</f>
        <v>0</v>
      </c>
      <c r="G66" s="51">
        <f>'Standard values'!G66</f>
        <v>0</v>
      </c>
      <c r="H66" s="52">
        <f t="shared" si="11"/>
        <v>0</v>
      </c>
      <c r="I66" s="52">
        <f t="shared" si="11"/>
        <v>0</v>
      </c>
      <c r="J66" s="53">
        <f t="shared" si="3"/>
        <v>0</v>
      </c>
      <c r="K66" s="54">
        <f t="shared" si="4"/>
        <v>0</v>
      </c>
      <c r="L66" s="55">
        <f t="shared" si="5"/>
        <v>0</v>
      </c>
      <c r="M66" s="55">
        <f t="shared" si="6"/>
        <v>0</v>
      </c>
      <c r="N66" s="55">
        <f t="shared" si="7"/>
        <v>0</v>
      </c>
      <c r="O66" s="53">
        <f t="shared" si="8"/>
        <v>0</v>
      </c>
      <c r="P66" s="54">
        <f t="shared" si="9"/>
        <v>0</v>
      </c>
      <c r="Q66" s="54">
        <f t="shared" si="1"/>
        <v>0</v>
      </c>
      <c r="R66" s="17">
        <v>30</v>
      </c>
      <c r="S66" s="17">
        <f>0.367/30</f>
        <v>0.012233333333333334</v>
      </c>
      <c r="T66" s="57">
        <f t="shared" si="2"/>
        <v>1.2233333333333334</v>
      </c>
      <c r="U66" s="17">
        <v>0</v>
      </c>
      <c r="V66" s="58" t="s">
        <v>271</v>
      </c>
      <c r="X66" s="58"/>
      <c r="Y66" s="58"/>
      <c r="Z66" s="59"/>
      <c r="AD66" s="58"/>
      <c r="AE66" s="58"/>
      <c r="AF66" s="58"/>
    </row>
    <row r="67" spans="1:32" s="17" customFormat="1" ht="30" customHeight="1">
      <c r="A67" s="18" t="s">
        <v>72</v>
      </c>
      <c r="B67" s="51">
        <f>'Standard values'!B67</f>
        <v>0</v>
      </c>
      <c r="C67" s="51">
        <f>'Standard values'!C67</f>
        <v>0</v>
      </c>
      <c r="D67" s="51">
        <f>'Standard values'!D67</f>
        <v>0</v>
      </c>
      <c r="E67" s="51">
        <f>'Standard values'!E67</f>
        <v>0</v>
      </c>
      <c r="F67" s="51">
        <f>'Standard values'!F67</f>
        <v>0</v>
      </c>
      <c r="G67" s="51">
        <f>'Standard values'!G67</f>
        <v>0</v>
      </c>
      <c r="H67" s="52">
        <f t="shared" si="11"/>
        <v>0</v>
      </c>
      <c r="I67" s="52">
        <f t="shared" si="11"/>
        <v>0</v>
      </c>
      <c r="J67" s="53">
        <f t="shared" si="3"/>
        <v>0</v>
      </c>
      <c r="K67" s="54">
        <f t="shared" si="4"/>
        <v>0</v>
      </c>
      <c r="L67" s="55">
        <f t="shared" si="5"/>
        <v>0</v>
      </c>
      <c r="M67" s="55">
        <f t="shared" si="6"/>
        <v>0</v>
      </c>
      <c r="N67" s="55">
        <f t="shared" si="7"/>
        <v>0</v>
      </c>
      <c r="O67" s="53">
        <f t="shared" si="8"/>
        <v>0</v>
      </c>
      <c r="P67" s="54">
        <f t="shared" si="9"/>
        <v>0</v>
      </c>
      <c r="Q67" s="54">
        <f t="shared" si="1"/>
        <v>0</v>
      </c>
      <c r="R67" s="17">
        <v>10</v>
      </c>
      <c r="S67" s="17">
        <f>2.8/250</f>
        <v>0.0112</v>
      </c>
      <c r="T67" s="57">
        <f t="shared" si="2"/>
        <v>1.1199999999999999</v>
      </c>
      <c r="U67" s="15">
        <v>0.1</v>
      </c>
      <c r="V67" s="58" t="s">
        <v>273</v>
      </c>
      <c r="X67" s="58"/>
      <c r="Y67" s="58"/>
      <c r="Z67" s="59"/>
      <c r="AD67" s="58"/>
      <c r="AE67" s="58"/>
      <c r="AF67" s="58"/>
    </row>
    <row r="68" spans="1:32" s="17" customFormat="1" ht="30" customHeight="1">
      <c r="A68" s="18" t="s">
        <v>73</v>
      </c>
      <c r="B68" s="51">
        <f>'Standard values'!B68</f>
        <v>0</v>
      </c>
      <c r="C68" s="51">
        <f>'Standard values'!C68</f>
        <v>0</v>
      </c>
      <c r="D68" s="51">
        <f>'Standard values'!D68</f>
        <v>0</v>
      </c>
      <c r="E68" s="51">
        <f>'Standard values'!E68</f>
        <v>0</v>
      </c>
      <c r="F68" s="51">
        <f>'Standard values'!F68</f>
        <v>0</v>
      </c>
      <c r="G68" s="51">
        <f>'Standard values'!G68</f>
        <v>0</v>
      </c>
      <c r="H68" s="52">
        <f t="shared" si="11"/>
        <v>0</v>
      </c>
      <c r="I68" s="52">
        <f t="shared" si="11"/>
        <v>0</v>
      </c>
      <c r="J68" s="53">
        <f t="shared" si="3"/>
        <v>0</v>
      </c>
      <c r="K68" s="54">
        <f t="shared" si="4"/>
        <v>0</v>
      </c>
      <c r="L68" s="55">
        <f t="shared" si="5"/>
        <v>0</v>
      </c>
      <c r="M68" s="55">
        <f t="shared" si="6"/>
        <v>0</v>
      </c>
      <c r="N68" s="55">
        <f t="shared" si="7"/>
        <v>0</v>
      </c>
      <c r="O68" s="53">
        <f t="shared" si="8"/>
        <v>0</v>
      </c>
      <c r="P68" s="54">
        <f t="shared" si="9"/>
        <v>0</v>
      </c>
      <c r="Q68" s="54">
        <f t="shared" si="1"/>
        <v>0</v>
      </c>
      <c r="R68" s="17">
        <v>5</v>
      </c>
      <c r="S68" s="17">
        <f>2.8/250</f>
        <v>0.0112</v>
      </c>
      <c r="T68" s="57">
        <f t="shared" si="2"/>
        <v>1.1199999999999999</v>
      </c>
      <c r="U68" s="15">
        <v>0.1</v>
      </c>
      <c r="V68" s="58" t="s">
        <v>273</v>
      </c>
      <c r="X68" s="58"/>
      <c r="Y68" s="58"/>
      <c r="Z68" s="59"/>
      <c r="AD68" s="58"/>
      <c r="AE68" s="58"/>
      <c r="AF68" s="58"/>
    </row>
    <row r="69" spans="1:32" s="17" customFormat="1" ht="30" customHeight="1">
      <c r="A69" s="18" t="s">
        <v>74</v>
      </c>
      <c r="B69" s="51">
        <f>'Standard values'!B69</f>
        <v>0</v>
      </c>
      <c r="C69" s="51">
        <f>'Standard values'!C69</f>
        <v>0</v>
      </c>
      <c r="D69" s="51">
        <f>'Standard values'!D69</f>
        <v>0</v>
      </c>
      <c r="E69" s="51">
        <f>'Standard values'!E69</f>
        <v>0</v>
      </c>
      <c r="F69" s="51">
        <f>'Standard values'!F69</f>
        <v>0</v>
      </c>
      <c r="G69" s="51">
        <f>'Standard values'!G69</f>
        <v>0</v>
      </c>
      <c r="H69" s="52">
        <f t="shared" si="11"/>
        <v>0</v>
      </c>
      <c r="I69" s="52">
        <f t="shared" si="11"/>
        <v>0</v>
      </c>
      <c r="J69" s="53">
        <f t="shared" si="3"/>
        <v>0</v>
      </c>
      <c r="K69" s="54">
        <f t="shared" si="4"/>
        <v>0</v>
      </c>
      <c r="L69" s="55">
        <f t="shared" si="5"/>
        <v>0</v>
      </c>
      <c r="M69" s="55">
        <f t="shared" si="6"/>
        <v>0</v>
      </c>
      <c r="N69" s="55">
        <f t="shared" si="7"/>
        <v>0</v>
      </c>
      <c r="O69" s="53">
        <f t="shared" si="8"/>
        <v>0</v>
      </c>
      <c r="P69" s="54">
        <f t="shared" si="9"/>
        <v>0</v>
      </c>
      <c r="Q69" s="54">
        <f t="shared" si="1"/>
        <v>0</v>
      </c>
      <c r="R69" s="61">
        <v>5</v>
      </c>
      <c r="S69" s="17">
        <f>7.5/1000</f>
        <v>0.0075</v>
      </c>
      <c r="T69" s="57">
        <f t="shared" si="2"/>
        <v>0.75</v>
      </c>
      <c r="U69" s="17">
        <v>0</v>
      </c>
      <c r="V69" s="58" t="s">
        <v>276</v>
      </c>
      <c r="X69" s="58"/>
      <c r="Y69" s="58"/>
      <c r="Z69" s="59"/>
      <c r="AD69" s="58"/>
      <c r="AE69" s="58"/>
      <c r="AF69" s="58"/>
    </row>
    <row r="70" spans="1:32" s="17" customFormat="1" ht="30" customHeight="1">
      <c r="A70" s="18" t="s">
        <v>75</v>
      </c>
      <c r="B70" s="51">
        <f>'Standard values'!B70</f>
        <v>0</v>
      </c>
      <c r="C70" s="51">
        <f>'Standard values'!C70</f>
        <v>0</v>
      </c>
      <c r="D70" s="51">
        <f>'Standard values'!D70</f>
        <v>0</v>
      </c>
      <c r="E70" s="51">
        <f>'Standard values'!E70</f>
        <v>0</v>
      </c>
      <c r="F70" s="51">
        <f>'Standard values'!F70</f>
        <v>0</v>
      </c>
      <c r="G70" s="51">
        <f>'Standard values'!G70</f>
        <v>0</v>
      </c>
      <c r="H70" s="52">
        <f t="shared" si="11"/>
        <v>0</v>
      </c>
      <c r="I70" s="52">
        <f t="shared" si="11"/>
        <v>0</v>
      </c>
      <c r="J70" s="53">
        <f t="shared" si="3"/>
        <v>0</v>
      </c>
      <c r="K70" s="54">
        <f t="shared" si="4"/>
        <v>0</v>
      </c>
      <c r="L70" s="55">
        <f t="shared" si="5"/>
        <v>0</v>
      </c>
      <c r="M70" s="55">
        <f t="shared" si="6"/>
        <v>0</v>
      </c>
      <c r="N70" s="55">
        <f t="shared" si="7"/>
        <v>0</v>
      </c>
      <c r="O70" s="53">
        <f t="shared" si="8"/>
        <v>0</v>
      </c>
      <c r="P70" s="54">
        <f t="shared" si="9"/>
        <v>0</v>
      </c>
      <c r="Q70" s="54">
        <f t="shared" si="1"/>
        <v>0</v>
      </c>
      <c r="R70" s="17">
        <v>5</v>
      </c>
      <c r="S70" s="17">
        <f>8.89/1000</f>
        <v>0.00889</v>
      </c>
      <c r="T70" s="57">
        <f t="shared" si="2"/>
        <v>0.889</v>
      </c>
      <c r="U70" s="15">
        <v>0</v>
      </c>
      <c r="V70" s="58" t="s">
        <v>278</v>
      </c>
      <c r="X70" s="58"/>
      <c r="Y70" s="58"/>
      <c r="Z70" s="59"/>
      <c r="AD70" s="58"/>
      <c r="AE70" s="58"/>
      <c r="AF70" s="58"/>
    </row>
    <row r="71" spans="1:32" s="17" customFormat="1" ht="30" customHeight="1">
      <c r="A71" s="60" t="s">
        <v>76</v>
      </c>
      <c r="B71" s="51">
        <f>'Standard values'!B71</f>
        <v>0</v>
      </c>
      <c r="C71" s="51">
        <f>'Standard values'!C71</f>
        <v>0</v>
      </c>
      <c r="D71" s="51">
        <f>'Standard values'!D71</f>
        <v>0</v>
      </c>
      <c r="E71" s="51">
        <f>'Standard values'!E71</f>
        <v>0</v>
      </c>
      <c r="F71" s="51">
        <f>'Standard values'!F71</f>
        <v>0</v>
      </c>
      <c r="G71" s="51">
        <f>'Standard values'!G71</f>
        <v>0</v>
      </c>
      <c r="H71" s="52">
        <f t="shared" si="11"/>
        <v>0</v>
      </c>
      <c r="I71" s="52">
        <f t="shared" si="11"/>
        <v>0</v>
      </c>
      <c r="J71" s="53">
        <f t="shared" si="3"/>
        <v>0</v>
      </c>
      <c r="K71" s="54">
        <f t="shared" si="4"/>
        <v>0</v>
      </c>
      <c r="L71" s="55">
        <f t="shared" si="5"/>
        <v>0</v>
      </c>
      <c r="M71" s="55">
        <f t="shared" si="6"/>
        <v>0</v>
      </c>
      <c r="N71" s="55">
        <f t="shared" si="7"/>
        <v>0</v>
      </c>
      <c r="O71" s="53">
        <f t="shared" si="8"/>
        <v>0</v>
      </c>
      <c r="P71" s="54">
        <f t="shared" si="9"/>
        <v>0</v>
      </c>
      <c r="Q71" s="54">
        <f t="shared" si="1"/>
        <v>0</v>
      </c>
      <c r="R71" s="61">
        <v>50</v>
      </c>
      <c r="S71" s="17">
        <f>7.4/1000</f>
        <v>0.0074</v>
      </c>
      <c r="T71" s="57">
        <f t="shared" si="2"/>
        <v>0.74</v>
      </c>
      <c r="U71" s="17">
        <v>0.5</v>
      </c>
      <c r="V71" s="58" t="s">
        <v>281</v>
      </c>
      <c r="X71" s="58"/>
      <c r="Y71" s="58"/>
      <c r="Z71" s="59"/>
      <c r="AD71" s="58"/>
      <c r="AE71" s="58"/>
      <c r="AF71" s="58"/>
    </row>
    <row r="72" spans="1:32" s="17" customFormat="1" ht="30" customHeight="1">
      <c r="A72" s="16" t="s">
        <v>77</v>
      </c>
      <c r="B72" s="51">
        <f>'Standard values'!B72</f>
        <v>0</v>
      </c>
      <c r="C72" s="51">
        <f>'Standard values'!C72</f>
        <v>0</v>
      </c>
      <c r="D72" s="51">
        <f>'Standard values'!D72</f>
        <v>0</v>
      </c>
      <c r="E72" s="51">
        <f>'Standard values'!E72</f>
        <v>0</v>
      </c>
      <c r="F72" s="51">
        <f>'Standard values'!F72</f>
        <v>0</v>
      </c>
      <c r="G72" s="51">
        <f>'Standard values'!G72</f>
        <v>0</v>
      </c>
      <c r="H72" s="52">
        <f aca="true" t="shared" si="12" ref="H72:I87">P72</f>
        <v>0</v>
      </c>
      <c r="I72" s="52">
        <f t="shared" si="12"/>
        <v>0</v>
      </c>
      <c r="J72" s="53">
        <f t="shared" si="3"/>
        <v>0</v>
      </c>
      <c r="K72" s="54">
        <f t="shared" si="4"/>
        <v>0</v>
      </c>
      <c r="L72" s="55">
        <f t="shared" si="5"/>
        <v>0</v>
      </c>
      <c r="M72" s="55">
        <f t="shared" si="6"/>
        <v>0</v>
      </c>
      <c r="N72" s="55">
        <f t="shared" si="7"/>
        <v>0</v>
      </c>
      <c r="O72" s="53">
        <f t="shared" si="8"/>
        <v>0</v>
      </c>
      <c r="P72" s="54">
        <f t="shared" si="9"/>
        <v>0</v>
      </c>
      <c r="Q72" s="54">
        <f t="shared" si="1"/>
        <v>0</v>
      </c>
      <c r="R72" s="61">
        <v>1</v>
      </c>
      <c r="S72" s="17">
        <f>21.67/1000</f>
        <v>0.021670000000000002</v>
      </c>
      <c r="T72" s="57">
        <f t="shared" si="2"/>
        <v>2.1670000000000003</v>
      </c>
      <c r="U72" s="15">
        <v>0</v>
      </c>
      <c r="V72" s="58" t="s">
        <v>283</v>
      </c>
      <c r="X72" s="58"/>
      <c r="Y72" s="58"/>
      <c r="Z72" s="59"/>
      <c r="AD72" s="58"/>
      <c r="AE72" s="58"/>
      <c r="AF72" s="58"/>
    </row>
    <row r="73" spans="1:32" s="17" customFormat="1" ht="30" customHeight="1">
      <c r="A73" s="18" t="s">
        <v>78</v>
      </c>
      <c r="B73" s="51">
        <f>'Standard values'!B73</f>
        <v>0</v>
      </c>
      <c r="C73" s="51">
        <f>'Standard values'!C73</f>
        <v>0</v>
      </c>
      <c r="D73" s="51">
        <f>'Standard values'!D73</f>
        <v>0</v>
      </c>
      <c r="E73" s="51">
        <f>'Standard values'!E73</f>
        <v>0</v>
      </c>
      <c r="F73" s="51">
        <f>'Standard values'!F73</f>
        <v>0</v>
      </c>
      <c r="G73" s="51">
        <f>'Standard values'!G73</f>
        <v>0</v>
      </c>
      <c r="H73" s="52">
        <f t="shared" si="12"/>
        <v>0</v>
      </c>
      <c r="I73" s="52">
        <f t="shared" si="12"/>
        <v>0</v>
      </c>
      <c r="J73" s="53">
        <f t="shared" si="3"/>
        <v>0</v>
      </c>
      <c r="K73" s="54">
        <f t="shared" si="4"/>
        <v>0</v>
      </c>
      <c r="L73" s="55">
        <f t="shared" si="5"/>
        <v>0</v>
      </c>
      <c r="M73" s="55">
        <f t="shared" si="6"/>
        <v>0</v>
      </c>
      <c r="N73" s="55">
        <f t="shared" si="7"/>
        <v>0</v>
      </c>
      <c r="O73" s="53">
        <f t="shared" si="8"/>
        <v>0</v>
      </c>
      <c r="P73" s="54">
        <f t="shared" si="9"/>
        <v>0</v>
      </c>
      <c r="Q73" s="54">
        <f t="shared" si="1"/>
        <v>0</v>
      </c>
      <c r="R73" s="15">
        <v>1</v>
      </c>
      <c r="S73" s="17">
        <f>22/1000</f>
        <v>0.022</v>
      </c>
      <c r="T73" s="57">
        <f t="shared" si="2"/>
        <v>2.1999999999999997</v>
      </c>
      <c r="U73" s="17">
        <v>0.6</v>
      </c>
      <c r="V73" s="58" t="s">
        <v>211</v>
      </c>
      <c r="X73" s="58"/>
      <c r="Y73" s="58"/>
      <c r="Z73" s="59"/>
      <c r="AD73" s="58"/>
      <c r="AE73" s="58"/>
      <c r="AF73" s="58"/>
    </row>
    <row r="74" spans="1:32" s="17" customFormat="1" ht="30" customHeight="1">
      <c r="A74" s="18" t="s">
        <v>79</v>
      </c>
      <c r="B74" s="51">
        <f>'Standard values'!B74</f>
        <v>0</v>
      </c>
      <c r="C74" s="51">
        <f>'Standard values'!C74</f>
        <v>0</v>
      </c>
      <c r="D74" s="51">
        <f>'Standard values'!D74</f>
        <v>0</v>
      </c>
      <c r="E74" s="51">
        <f>'Standard values'!E74</f>
        <v>0</v>
      </c>
      <c r="F74" s="51">
        <f>'Standard values'!F74</f>
        <v>0</v>
      </c>
      <c r="G74" s="51">
        <f>'Standard values'!G74</f>
        <v>0</v>
      </c>
      <c r="H74" s="52">
        <f t="shared" si="12"/>
        <v>0</v>
      </c>
      <c r="I74" s="52">
        <f t="shared" si="12"/>
        <v>0</v>
      </c>
      <c r="J74" s="53">
        <f t="shared" si="3"/>
        <v>0</v>
      </c>
      <c r="K74" s="54">
        <f t="shared" si="4"/>
        <v>0</v>
      </c>
      <c r="L74" s="55">
        <f t="shared" si="5"/>
        <v>0</v>
      </c>
      <c r="M74" s="55">
        <f t="shared" si="6"/>
        <v>0</v>
      </c>
      <c r="N74" s="55">
        <f t="shared" si="7"/>
        <v>0</v>
      </c>
      <c r="O74" s="53">
        <f t="shared" si="8"/>
        <v>0</v>
      </c>
      <c r="P74" s="54">
        <f t="shared" si="9"/>
        <v>0</v>
      </c>
      <c r="Q74" s="54">
        <f t="shared" si="1"/>
        <v>0</v>
      </c>
      <c r="R74" s="17">
        <v>50</v>
      </c>
      <c r="S74" s="17">
        <f>1.8/500</f>
        <v>0.0036</v>
      </c>
      <c r="T74" s="57">
        <f t="shared" si="2"/>
        <v>0.36</v>
      </c>
      <c r="U74" s="17">
        <v>0</v>
      </c>
      <c r="V74" s="58" t="s">
        <v>284</v>
      </c>
      <c r="X74" s="58"/>
      <c r="Y74" s="58"/>
      <c r="Z74" s="59"/>
      <c r="AD74" s="58"/>
      <c r="AE74" s="58"/>
      <c r="AF74" s="58"/>
    </row>
    <row r="75" spans="1:32" s="17" customFormat="1" ht="30" customHeight="1">
      <c r="A75" s="18" t="s">
        <v>80</v>
      </c>
      <c r="B75" s="51">
        <f>'Standard values'!B75</f>
        <v>0</v>
      </c>
      <c r="C75" s="51">
        <f>'Standard values'!C75</f>
        <v>0</v>
      </c>
      <c r="D75" s="51">
        <f>'Standard values'!D75</f>
        <v>0</v>
      </c>
      <c r="E75" s="51">
        <f>'Standard values'!E75</f>
        <v>0</v>
      </c>
      <c r="F75" s="51">
        <f>'Standard values'!F75</f>
        <v>0</v>
      </c>
      <c r="G75" s="51">
        <f>'Standard values'!G75</f>
        <v>0</v>
      </c>
      <c r="H75" s="52">
        <f t="shared" si="12"/>
        <v>0</v>
      </c>
      <c r="I75" s="52">
        <f t="shared" si="12"/>
        <v>0</v>
      </c>
      <c r="J75" s="53">
        <f t="shared" si="3"/>
        <v>0</v>
      </c>
      <c r="K75" s="54">
        <f t="shared" si="4"/>
        <v>0</v>
      </c>
      <c r="L75" s="55">
        <f t="shared" si="5"/>
        <v>0</v>
      </c>
      <c r="M75" s="55">
        <f t="shared" si="6"/>
        <v>0</v>
      </c>
      <c r="N75" s="55">
        <f t="shared" si="7"/>
        <v>0</v>
      </c>
      <c r="O75" s="53">
        <f t="shared" si="8"/>
        <v>0</v>
      </c>
      <c r="P75" s="54">
        <f t="shared" si="9"/>
        <v>0</v>
      </c>
      <c r="Q75" s="54">
        <f t="shared" si="1"/>
        <v>0</v>
      </c>
      <c r="R75" s="58">
        <v>4</v>
      </c>
      <c r="S75" s="17">
        <f>2.8/250</f>
        <v>0.0112</v>
      </c>
      <c r="T75" s="57">
        <f t="shared" si="2"/>
        <v>1.1199999999999999</v>
      </c>
      <c r="U75" s="17">
        <v>0.4</v>
      </c>
      <c r="V75" s="17" t="s">
        <v>169</v>
      </c>
      <c r="X75" s="58"/>
      <c r="Y75" s="58"/>
      <c r="Z75" s="59"/>
      <c r="AD75" s="58"/>
      <c r="AE75" s="58"/>
      <c r="AF75" s="58"/>
    </row>
    <row r="76" spans="1:32" s="17" customFormat="1" ht="30" customHeight="1">
      <c r="A76" s="18" t="s">
        <v>81</v>
      </c>
      <c r="B76" s="51">
        <f>'Standard values'!B76</f>
        <v>0</v>
      </c>
      <c r="C76" s="51">
        <f>'Standard values'!C76</f>
        <v>0</v>
      </c>
      <c r="D76" s="51">
        <f>'Standard values'!D76</f>
        <v>0</v>
      </c>
      <c r="E76" s="51">
        <f>'Standard values'!E76</f>
        <v>0</v>
      </c>
      <c r="F76" s="51">
        <f>'Standard values'!F76</f>
        <v>0</v>
      </c>
      <c r="G76" s="51">
        <f>'Standard values'!G76</f>
        <v>0</v>
      </c>
      <c r="H76" s="52">
        <f t="shared" si="12"/>
        <v>0</v>
      </c>
      <c r="I76" s="52">
        <f t="shared" si="12"/>
        <v>0</v>
      </c>
      <c r="J76" s="53">
        <f t="shared" si="3"/>
        <v>0</v>
      </c>
      <c r="K76" s="54">
        <f t="shared" si="4"/>
        <v>0</v>
      </c>
      <c r="L76" s="55">
        <f t="shared" si="5"/>
        <v>0</v>
      </c>
      <c r="M76" s="55">
        <f t="shared" si="6"/>
        <v>0</v>
      </c>
      <c r="N76" s="55">
        <f t="shared" si="7"/>
        <v>0</v>
      </c>
      <c r="O76" s="53">
        <f t="shared" si="8"/>
        <v>0</v>
      </c>
      <c r="P76" s="54">
        <f t="shared" si="9"/>
        <v>0</v>
      </c>
      <c r="Q76" s="54">
        <f t="shared" si="1"/>
        <v>0</v>
      </c>
      <c r="R76" s="61">
        <v>250</v>
      </c>
      <c r="S76" s="17">
        <f>9.45/1000</f>
        <v>0.00945</v>
      </c>
      <c r="T76" s="57">
        <f t="shared" si="2"/>
        <v>0.9450000000000001</v>
      </c>
      <c r="U76" s="17">
        <v>0</v>
      </c>
      <c r="V76" s="58" t="s">
        <v>287</v>
      </c>
      <c r="X76" s="58"/>
      <c r="Y76" s="58"/>
      <c r="Z76" s="59"/>
      <c r="AD76" s="58"/>
      <c r="AE76" s="58"/>
      <c r="AF76" s="58"/>
    </row>
    <row r="77" spans="1:32" s="17" customFormat="1" ht="30" customHeight="1">
      <c r="A77" s="60" t="s">
        <v>83</v>
      </c>
      <c r="B77" s="51">
        <f>'Standard values'!B77</f>
        <v>0</v>
      </c>
      <c r="C77" s="51">
        <f>'Standard values'!C77</f>
        <v>0</v>
      </c>
      <c r="D77" s="51">
        <f>'Standard values'!D77</f>
        <v>0</v>
      </c>
      <c r="E77" s="51">
        <f>'Standard values'!E77</f>
        <v>0</v>
      </c>
      <c r="F77" s="51">
        <f>'Standard values'!F77</f>
        <v>0</v>
      </c>
      <c r="G77" s="51">
        <f>'Standard values'!G77</f>
        <v>0</v>
      </c>
      <c r="H77" s="52">
        <f t="shared" si="12"/>
        <v>0</v>
      </c>
      <c r="I77" s="52">
        <f t="shared" si="12"/>
        <v>0</v>
      </c>
      <c r="J77" s="53">
        <f t="shared" si="3"/>
        <v>0</v>
      </c>
      <c r="K77" s="54">
        <f t="shared" si="4"/>
        <v>0</v>
      </c>
      <c r="L77" s="55">
        <f t="shared" si="5"/>
        <v>0</v>
      </c>
      <c r="M77" s="55">
        <f t="shared" si="6"/>
        <v>0</v>
      </c>
      <c r="N77" s="55">
        <f t="shared" si="7"/>
        <v>0</v>
      </c>
      <c r="O77" s="53">
        <f t="shared" si="8"/>
        <v>0</v>
      </c>
      <c r="P77" s="54">
        <f t="shared" si="9"/>
        <v>0</v>
      </c>
      <c r="Q77" s="54">
        <f t="shared" si="1"/>
        <v>0</v>
      </c>
      <c r="R77" s="17">
        <v>75</v>
      </c>
      <c r="S77" s="17">
        <f>0.475/75</f>
        <v>0.006333333333333333</v>
      </c>
      <c r="T77" s="57">
        <f t="shared" si="2"/>
        <v>0.6333333333333333</v>
      </c>
      <c r="U77" s="17">
        <v>1</v>
      </c>
      <c r="V77" s="58" t="s">
        <v>289</v>
      </c>
      <c r="X77" s="58"/>
      <c r="Y77" s="58"/>
      <c r="Z77" s="59"/>
      <c r="AD77" s="58"/>
      <c r="AE77" s="58"/>
      <c r="AF77" s="58"/>
    </row>
    <row r="78" spans="1:32" s="17" customFormat="1" ht="30" customHeight="1">
      <c r="A78" s="18" t="s">
        <v>85</v>
      </c>
      <c r="B78" s="51">
        <f>'Standard values'!B78</f>
        <v>0</v>
      </c>
      <c r="C78" s="51">
        <f>'Standard values'!C78</f>
        <v>0</v>
      </c>
      <c r="D78" s="51">
        <f>'Standard values'!D78</f>
        <v>0</v>
      </c>
      <c r="E78" s="51">
        <f>'Standard values'!E78</f>
        <v>0</v>
      </c>
      <c r="F78" s="51">
        <f>'Standard values'!F78</f>
        <v>0</v>
      </c>
      <c r="G78" s="51">
        <f>'Standard values'!G78</f>
        <v>0</v>
      </c>
      <c r="H78" s="52">
        <f t="shared" si="12"/>
        <v>0</v>
      </c>
      <c r="I78" s="52">
        <f t="shared" si="12"/>
        <v>0</v>
      </c>
      <c r="J78" s="53">
        <f t="shared" si="3"/>
        <v>0</v>
      </c>
      <c r="K78" s="54">
        <f t="shared" si="4"/>
        <v>0</v>
      </c>
      <c r="L78" s="55">
        <f t="shared" si="5"/>
        <v>0</v>
      </c>
      <c r="M78" s="55">
        <f t="shared" si="6"/>
        <v>0</v>
      </c>
      <c r="N78" s="55">
        <f t="shared" si="7"/>
        <v>0</v>
      </c>
      <c r="O78" s="53">
        <f t="shared" si="8"/>
        <v>0</v>
      </c>
      <c r="P78" s="54">
        <f t="shared" si="9"/>
        <v>0</v>
      </c>
      <c r="Q78" s="54">
        <f t="shared" si="1"/>
        <v>0</v>
      </c>
      <c r="R78" s="15">
        <v>150</v>
      </c>
      <c r="S78" s="17">
        <f>1.95/150</f>
        <v>0.013</v>
      </c>
      <c r="T78" s="57">
        <f t="shared" si="2"/>
        <v>1.3</v>
      </c>
      <c r="U78" s="17">
        <v>0</v>
      </c>
      <c r="V78" s="58" t="s">
        <v>291</v>
      </c>
      <c r="X78" s="58"/>
      <c r="Y78" s="58"/>
      <c r="Z78" s="59"/>
      <c r="AD78" s="58"/>
      <c r="AE78" s="58"/>
      <c r="AF78" s="58"/>
    </row>
    <row r="79" spans="1:32" s="17" customFormat="1" ht="30" customHeight="1">
      <c r="A79" s="16" t="s">
        <v>86</v>
      </c>
      <c r="B79" s="51">
        <f>'Standard values'!B79</f>
        <v>0</v>
      </c>
      <c r="C79" s="51">
        <f>'Standard values'!C79</f>
        <v>0</v>
      </c>
      <c r="D79" s="51">
        <f>'Standard values'!D79</f>
        <v>0</v>
      </c>
      <c r="E79" s="51">
        <f>'Standard values'!E79</f>
        <v>0</v>
      </c>
      <c r="F79" s="51">
        <f>'Standard values'!F79</f>
        <v>0</v>
      </c>
      <c r="G79" s="51">
        <f>'Standard values'!G79</f>
        <v>0</v>
      </c>
      <c r="H79" s="52">
        <f t="shared" si="12"/>
        <v>0</v>
      </c>
      <c r="I79" s="52">
        <f t="shared" si="12"/>
        <v>0</v>
      </c>
      <c r="J79" s="53">
        <f t="shared" si="3"/>
        <v>0</v>
      </c>
      <c r="K79" s="54">
        <f t="shared" si="4"/>
        <v>0</v>
      </c>
      <c r="L79" s="55">
        <f t="shared" si="5"/>
        <v>0</v>
      </c>
      <c r="M79" s="55">
        <f t="shared" si="6"/>
        <v>0</v>
      </c>
      <c r="N79" s="55">
        <f t="shared" si="7"/>
        <v>0</v>
      </c>
      <c r="O79" s="53">
        <f t="shared" si="8"/>
        <v>0</v>
      </c>
      <c r="P79" s="54">
        <f t="shared" si="9"/>
        <v>0</v>
      </c>
      <c r="Q79" s="54">
        <f t="shared" si="1"/>
        <v>0</v>
      </c>
      <c r="R79" s="17">
        <v>150</v>
      </c>
      <c r="S79" s="17">
        <f>5.72/1000</f>
        <v>0.005719999999999999</v>
      </c>
      <c r="T79" s="57">
        <f t="shared" si="2"/>
        <v>0.572</v>
      </c>
      <c r="U79" s="17">
        <v>0</v>
      </c>
      <c r="V79" s="58" t="s">
        <v>293</v>
      </c>
      <c r="X79" s="58"/>
      <c r="Y79" s="58"/>
      <c r="Z79" s="59"/>
      <c r="AD79" s="58"/>
      <c r="AE79" s="58"/>
      <c r="AF79" s="58"/>
    </row>
    <row r="80" spans="1:32" s="17" customFormat="1" ht="30" customHeight="1">
      <c r="A80" s="18" t="s">
        <v>87</v>
      </c>
      <c r="B80" s="51">
        <f>'Standard values'!B80</f>
        <v>0</v>
      </c>
      <c r="C80" s="51">
        <f>'Standard values'!C80</f>
        <v>0</v>
      </c>
      <c r="D80" s="51">
        <f>'Standard values'!D80</f>
        <v>0</v>
      </c>
      <c r="E80" s="51">
        <f>'Standard values'!E80</f>
        <v>0</v>
      </c>
      <c r="F80" s="51">
        <f>'Standard values'!F80</f>
        <v>0</v>
      </c>
      <c r="G80" s="51">
        <f>'Standard values'!G80</f>
        <v>0</v>
      </c>
      <c r="H80" s="52">
        <f t="shared" si="12"/>
        <v>0</v>
      </c>
      <c r="I80" s="52">
        <f t="shared" si="12"/>
        <v>0</v>
      </c>
      <c r="J80" s="53">
        <f t="shared" si="3"/>
        <v>0</v>
      </c>
      <c r="K80" s="54">
        <f t="shared" si="4"/>
        <v>0</v>
      </c>
      <c r="L80" s="55">
        <f t="shared" si="5"/>
        <v>0</v>
      </c>
      <c r="M80" s="55">
        <f t="shared" si="6"/>
        <v>0</v>
      </c>
      <c r="N80" s="55">
        <f t="shared" si="7"/>
        <v>0</v>
      </c>
      <c r="O80" s="53">
        <f t="shared" si="8"/>
        <v>0</v>
      </c>
      <c r="P80" s="54">
        <f t="shared" si="9"/>
        <v>0</v>
      </c>
      <c r="Q80" s="54">
        <f t="shared" si="1"/>
        <v>0</v>
      </c>
      <c r="R80" s="17">
        <v>80</v>
      </c>
      <c r="S80" s="17">
        <f>0.667/80</f>
        <v>0.008337500000000001</v>
      </c>
      <c r="T80" s="57">
        <f t="shared" si="2"/>
        <v>0.8337500000000001</v>
      </c>
      <c r="U80" s="17">
        <v>0.2</v>
      </c>
      <c r="V80" s="58" t="s">
        <v>295</v>
      </c>
      <c r="X80" s="58"/>
      <c r="Y80" s="58"/>
      <c r="Z80" s="59"/>
      <c r="AD80" s="58"/>
      <c r="AE80" s="58"/>
      <c r="AF80" s="58"/>
    </row>
    <row r="81" spans="1:32" s="17" customFormat="1" ht="30" customHeight="1">
      <c r="A81" s="16" t="s">
        <v>160</v>
      </c>
      <c r="B81" s="51">
        <f>'Standard values'!B81</f>
        <v>0</v>
      </c>
      <c r="C81" s="51">
        <f>'Standard values'!C81</f>
        <v>0</v>
      </c>
      <c r="D81" s="51">
        <f>'Standard values'!D81</f>
        <v>0</v>
      </c>
      <c r="E81" s="51">
        <f>'Standard values'!E81</f>
        <v>0</v>
      </c>
      <c r="F81" s="51">
        <f>'Standard values'!F81</f>
        <v>0</v>
      </c>
      <c r="G81" s="51">
        <f>'Standard values'!G81</f>
        <v>0</v>
      </c>
      <c r="H81" s="52">
        <f t="shared" si="12"/>
        <v>0</v>
      </c>
      <c r="I81" s="52">
        <f t="shared" si="12"/>
        <v>0</v>
      </c>
      <c r="J81" s="53">
        <f t="shared" si="3"/>
        <v>0</v>
      </c>
      <c r="K81" s="54">
        <f t="shared" si="4"/>
        <v>0</v>
      </c>
      <c r="L81" s="55">
        <f t="shared" si="5"/>
        <v>0</v>
      </c>
      <c r="M81" s="55">
        <f t="shared" si="6"/>
        <v>0</v>
      </c>
      <c r="N81" s="55">
        <f t="shared" si="7"/>
        <v>0</v>
      </c>
      <c r="O81" s="53">
        <f t="shared" si="8"/>
        <v>0</v>
      </c>
      <c r="P81" s="54">
        <f t="shared" si="9"/>
        <v>0</v>
      </c>
      <c r="Q81" s="54">
        <f t="shared" si="1"/>
        <v>0</v>
      </c>
      <c r="R81" s="17">
        <v>1</v>
      </c>
      <c r="S81" s="17">
        <f>1.82/100</f>
        <v>0.0182</v>
      </c>
      <c r="T81" s="57">
        <f t="shared" si="2"/>
        <v>1.82</v>
      </c>
      <c r="U81" s="17">
        <v>0</v>
      </c>
      <c r="V81" s="58" t="s">
        <v>296</v>
      </c>
      <c r="X81" s="58"/>
      <c r="Y81" s="58"/>
      <c r="Z81" s="59"/>
      <c r="AD81" s="58"/>
      <c r="AE81" s="58"/>
      <c r="AF81" s="58"/>
    </row>
    <row r="82" spans="1:32" s="17" customFormat="1" ht="30" customHeight="1">
      <c r="A82" s="18" t="s">
        <v>88</v>
      </c>
      <c r="B82" s="51">
        <f>'Standard values'!B82</f>
        <v>0</v>
      </c>
      <c r="C82" s="51">
        <f>'Standard values'!C82</f>
        <v>0</v>
      </c>
      <c r="D82" s="51">
        <f>'Standard values'!D82</f>
        <v>0</v>
      </c>
      <c r="E82" s="51">
        <f>'Standard values'!E82</f>
        <v>0</v>
      </c>
      <c r="F82" s="51">
        <f>'Standard values'!F82</f>
        <v>0</v>
      </c>
      <c r="G82" s="51">
        <f>'Standard values'!G82</f>
        <v>0</v>
      </c>
      <c r="H82" s="52">
        <f t="shared" si="12"/>
        <v>0</v>
      </c>
      <c r="I82" s="52">
        <f t="shared" si="12"/>
        <v>0</v>
      </c>
      <c r="J82" s="53">
        <f t="shared" si="3"/>
        <v>0</v>
      </c>
      <c r="K82" s="54">
        <f t="shared" si="4"/>
        <v>0</v>
      </c>
      <c r="L82" s="55">
        <f t="shared" si="5"/>
        <v>0</v>
      </c>
      <c r="M82" s="55">
        <f t="shared" si="6"/>
        <v>0</v>
      </c>
      <c r="N82" s="55">
        <f t="shared" si="7"/>
        <v>0</v>
      </c>
      <c r="O82" s="53">
        <f t="shared" si="8"/>
        <v>0</v>
      </c>
      <c r="P82" s="54">
        <f t="shared" si="9"/>
        <v>0</v>
      </c>
      <c r="Q82" s="54">
        <f t="shared" si="1"/>
        <v>0</v>
      </c>
      <c r="R82" s="15">
        <v>70</v>
      </c>
      <c r="S82" s="17">
        <f>0.767/70</f>
        <v>0.010957142857142858</v>
      </c>
      <c r="T82" s="57">
        <f t="shared" si="2"/>
        <v>1.0957142857142859</v>
      </c>
      <c r="U82" s="15">
        <v>0.2</v>
      </c>
      <c r="V82" s="58" t="s">
        <v>298</v>
      </c>
      <c r="X82" s="58"/>
      <c r="Y82" s="58"/>
      <c r="Z82" s="59"/>
      <c r="AD82" s="58"/>
      <c r="AE82" s="58"/>
      <c r="AF82" s="58"/>
    </row>
    <row r="83" spans="1:32" s="17" customFormat="1" ht="30" customHeight="1">
      <c r="A83" s="16" t="s">
        <v>89</v>
      </c>
      <c r="B83" s="51">
        <f>'Standard values'!B83</f>
        <v>0</v>
      </c>
      <c r="C83" s="51">
        <f>'Standard values'!C83</f>
        <v>0</v>
      </c>
      <c r="D83" s="51">
        <f>'Standard values'!D83</f>
        <v>0</v>
      </c>
      <c r="E83" s="51">
        <f>'Standard values'!E83</f>
        <v>0</v>
      </c>
      <c r="F83" s="51">
        <f>'Standard values'!F83</f>
        <v>0</v>
      </c>
      <c r="G83" s="51">
        <f>'Standard values'!G83</f>
        <v>0</v>
      </c>
      <c r="H83" s="52">
        <f t="shared" si="12"/>
        <v>0</v>
      </c>
      <c r="I83" s="52">
        <f t="shared" si="12"/>
        <v>0</v>
      </c>
      <c r="J83" s="53">
        <f t="shared" si="3"/>
        <v>0</v>
      </c>
      <c r="K83" s="54">
        <f t="shared" si="4"/>
        <v>0</v>
      </c>
      <c r="L83" s="55">
        <f t="shared" si="5"/>
        <v>0</v>
      </c>
      <c r="M83" s="55">
        <f t="shared" si="6"/>
        <v>0</v>
      </c>
      <c r="N83" s="55">
        <f t="shared" si="7"/>
        <v>0</v>
      </c>
      <c r="O83" s="53">
        <f t="shared" si="8"/>
        <v>0</v>
      </c>
      <c r="P83" s="54">
        <f t="shared" si="9"/>
        <v>0</v>
      </c>
      <c r="Q83" s="54">
        <f t="shared" si="1"/>
        <v>0</v>
      </c>
      <c r="R83" s="61">
        <v>4</v>
      </c>
      <c r="S83" s="17">
        <f>3.16/100</f>
        <v>0.0316</v>
      </c>
      <c r="T83" s="57">
        <f t="shared" si="2"/>
        <v>3.16</v>
      </c>
      <c r="U83" s="15">
        <v>0.1</v>
      </c>
      <c r="V83" s="17" t="s">
        <v>201</v>
      </c>
      <c r="W83" s="17" t="s">
        <v>23</v>
      </c>
      <c r="X83" s="58"/>
      <c r="Y83" s="58"/>
      <c r="Z83" s="59"/>
      <c r="AD83" s="58"/>
      <c r="AE83" s="58"/>
      <c r="AF83" s="58"/>
    </row>
    <row r="84" spans="1:32" s="17" customFormat="1" ht="30" customHeight="1">
      <c r="A84" s="60" t="s">
        <v>90</v>
      </c>
      <c r="B84" s="51">
        <f>'Standard values'!B84</f>
        <v>0</v>
      </c>
      <c r="C84" s="51">
        <f>'Standard values'!C84</f>
        <v>0</v>
      </c>
      <c r="D84" s="51">
        <f>'Standard values'!D84</f>
        <v>0</v>
      </c>
      <c r="E84" s="51">
        <f>'Standard values'!E84</f>
        <v>0</v>
      </c>
      <c r="F84" s="51">
        <f>'Standard values'!F84</f>
        <v>0</v>
      </c>
      <c r="G84" s="51">
        <f>'Standard values'!G84</f>
        <v>0</v>
      </c>
      <c r="H84" s="52">
        <f t="shared" si="12"/>
        <v>0</v>
      </c>
      <c r="I84" s="52">
        <f t="shared" si="12"/>
        <v>0</v>
      </c>
      <c r="J84" s="53">
        <f t="shared" si="3"/>
        <v>0</v>
      </c>
      <c r="K84" s="54">
        <f t="shared" si="4"/>
        <v>0</v>
      </c>
      <c r="L84" s="55">
        <f t="shared" si="5"/>
        <v>0</v>
      </c>
      <c r="M84" s="55">
        <f t="shared" si="6"/>
        <v>0</v>
      </c>
      <c r="N84" s="55">
        <f t="shared" si="7"/>
        <v>0</v>
      </c>
      <c r="O84" s="53">
        <f t="shared" si="8"/>
        <v>0</v>
      </c>
      <c r="P84" s="54">
        <f t="shared" si="9"/>
        <v>0</v>
      </c>
      <c r="Q84" s="54">
        <f t="shared" si="1"/>
        <v>0</v>
      </c>
      <c r="R84" s="61">
        <v>30</v>
      </c>
      <c r="S84" s="72">
        <f>(3.55/3)/250</f>
        <v>0.004733333333333333</v>
      </c>
      <c r="T84" s="57">
        <f t="shared" si="2"/>
        <v>0.47333333333333333</v>
      </c>
      <c r="U84" s="17">
        <v>0.5</v>
      </c>
      <c r="V84" s="70" t="s">
        <v>334</v>
      </c>
      <c r="W84" s="72"/>
      <c r="X84" s="58"/>
      <c r="Y84" s="58"/>
      <c r="Z84" s="59"/>
      <c r="AD84" s="58"/>
      <c r="AE84" s="58"/>
      <c r="AF84" s="58"/>
    </row>
    <row r="85" spans="1:32" s="17" customFormat="1" ht="30" customHeight="1">
      <c r="A85" s="60" t="s">
        <v>91</v>
      </c>
      <c r="B85" s="51">
        <f>'Standard values'!B85</f>
        <v>0</v>
      </c>
      <c r="C85" s="51">
        <f>'Standard values'!C85</f>
        <v>0</v>
      </c>
      <c r="D85" s="51">
        <f>'Standard values'!D85</f>
        <v>0</v>
      </c>
      <c r="E85" s="51">
        <f>'Standard values'!E85</f>
        <v>0</v>
      </c>
      <c r="F85" s="51">
        <f>'Standard values'!F85</f>
        <v>0</v>
      </c>
      <c r="G85" s="51">
        <f>'Standard values'!G85</f>
        <v>0</v>
      </c>
      <c r="H85" s="52">
        <f t="shared" si="12"/>
        <v>0</v>
      </c>
      <c r="I85" s="52">
        <f t="shared" si="12"/>
        <v>0</v>
      </c>
      <c r="J85" s="53">
        <f t="shared" si="3"/>
        <v>0</v>
      </c>
      <c r="K85" s="54">
        <f t="shared" si="4"/>
        <v>0</v>
      </c>
      <c r="L85" s="55">
        <f t="shared" si="5"/>
        <v>0</v>
      </c>
      <c r="M85" s="55">
        <f t="shared" si="6"/>
        <v>0</v>
      </c>
      <c r="N85" s="55">
        <f t="shared" si="7"/>
        <v>0</v>
      </c>
      <c r="O85" s="53">
        <f t="shared" si="8"/>
        <v>0</v>
      </c>
      <c r="P85" s="54">
        <f t="shared" si="9"/>
        <v>0</v>
      </c>
      <c r="Q85" s="54">
        <f t="shared" si="1"/>
        <v>0</v>
      </c>
      <c r="R85" s="17">
        <v>1</v>
      </c>
      <c r="S85" s="17">
        <f>3.16/100</f>
        <v>0.0316</v>
      </c>
      <c r="T85" s="57">
        <f t="shared" si="2"/>
        <v>3.16</v>
      </c>
      <c r="U85" s="17">
        <v>0</v>
      </c>
      <c r="V85" s="17" t="s">
        <v>201</v>
      </c>
      <c r="W85" s="17" t="s">
        <v>23</v>
      </c>
      <c r="X85" s="58"/>
      <c r="Y85" s="58"/>
      <c r="Z85" s="59"/>
      <c r="AD85" s="58"/>
      <c r="AE85" s="58"/>
      <c r="AF85" s="58"/>
    </row>
    <row r="86" spans="1:32" s="17" customFormat="1" ht="30" customHeight="1">
      <c r="A86" s="18" t="s">
        <v>92</v>
      </c>
      <c r="B86" s="51">
        <f>'Standard values'!B86</f>
        <v>0</v>
      </c>
      <c r="C86" s="51">
        <f>'Standard values'!C86</f>
        <v>0</v>
      </c>
      <c r="D86" s="51">
        <f>'Standard values'!D86</f>
        <v>0</v>
      </c>
      <c r="E86" s="51">
        <f>'Standard values'!E86</f>
        <v>0</v>
      </c>
      <c r="F86" s="51">
        <f>'Standard values'!F86</f>
        <v>0</v>
      </c>
      <c r="G86" s="51">
        <f>'Standard values'!G86</f>
        <v>0</v>
      </c>
      <c r="H86" s="52">
        <f t="shared" si="12"/>
        <v>0</v>
      </c>
      <c r="I86" s="52">
        <f t="shared" si="12"/>
        <v>0</v>
      </c>
      <c r="J86" s="53">
        <f t="shared" si="3"/>
        <v>0</v>
      </c>
      <c r="K86" s="54">
        <f t="shared" si="4"/>
        <v>0</v>
      </c>
      <c r="L86" s="55">
        <f t="shared" si="5"/>
        <v>0</v>
      </c>
      <c r="M86" s="55">
        <f t="shared" si="6"/>
        <v>0</v>
      </c>
      <c r="N86" s="55">
        <f t="shared" si="7"/>
        <v>0</v>
      </c>
      <c r="O86" s="53">
        <f t="shared" si="8"/>
        <v>0</v>
      </c>
      <c r="P86" s="54">
        <f t="shared" si="9"/>
        <v>0</v>
      </c>
      <c r="Q86" s="54">
        <f t="shared" si="1"/>
        <v>0</v>
      </c>
      <c r="R86" s="61">
        <v>10</v>
      </c>
      <c r="S86" s="17">
        <f>4.6/1000</f>
        <v>0.0046</v>
      </c>
      <c r="T86" s="17">
        <v>0.0033333333333333335</v>
      </c>
      <c r="U86" s="17">
        <v>0</v>
      </c>
      <c r="V86" s="58" t="s">
        <v>303</v>
      </c>
      <c r="X86" s="58"/>
      <c r="Y86" s="58"/>
      <c r="Z86" s="59"/>
      <c r="AD86" s="58"/>
      <c r="AE86" s="58"/>
      <c r="AF86" s="58"/>
    </row>
    <row r="87" spans="1:32" s="17" customFormat="1" ht="30" customHeight="1">
      <c r="A87" s="60" t="s">
        <v>93</v>
      </c>
      <c r="B87" s="51">
        <f>'Standard values'!B87</f>
        <v>0</v>
      </c>
      <c r="C87" s="51">
        <f>'Standard values'!C87</f>
        <v>0</v>
      </c>
      <c r="D87" s="51">
        <f>'Standard values'!D87</f>
        <v>0</v>
      </c>
      <c r="E87" s="51">
        <f>'Standard values'!E87</f>
        <v>0</v>
      </c>
      <c r="F87" s="51">
        <f>'Standard values'!F87</f>
        <v>0</v>
      </c>
      <c r="G87" s="51">
        <f>'Standard values'!G87</f>
        <v>0</v>
      </c>
      <c r="H87" s="52">
        <f t="shared" si="12"/>
        <v>0</v>
      </c>
      <c r="I87" s="52">
        <f t="shared" si="12"/>
        <v>0</v>
      </c>
      <c r="J87" s="53">
        <f t="shared" si="3"/>
        <v>0</v>
      </c>
      <c r="K87" s="54">
        <f t="shared" si="4"/>
        <v>0</v>
      </c>
      <c r="L87" s="55">
        <f t="shared" si="5"/>
        <v>0</v>
      </c>
      <c r="M87" s="55">
        <f t="shared" si="6"/>
        <v>0</v>
      </c>
      <c r="N87" s="55">
        <f t="shared" si="7"/>
        <v>0</v>
      </c>
      <c r="O87" s="53">
        <f t="shared" si="8"/>
        <v>0</v>
      </c>
      <c r="P87" s="54">
        <f t="shared" si="9"/>
        <v>0</v>
      </c>
      <c r="Q87" s="54">
        <f t="shared" si="1"/>
        <v>0</v>
      </c>
      <c r="R87" s="17">
        <v>150</v>
      </c>
      <c r="S87" s="17">
        <f>0.625/150</f>
        <v>0.004166666666666667</v>
      </c>
      <c r="T87" s="57">
        <f aca="true" t="shared" si="13" ref="T87:T123">S87*100</f>
        <v>0.4166666666666667</v>
      </c>
      <c r="U87" s="17">
        <v>0.6</v>
      </c>
      <c r="V87" s="58" t="s">
        <v>304</v>
      </c>
      <c r="X87" s="58"/>
      <c r="Y87" s="58"/>
      <c r="Z87" s="59"/>
      <c r="AD87" s="58"/>
      <c r="AE87" s="58"/>
      <c r="AF87" s="58"/>
    </row>
    <row r="88" spans="1:32" s="17" customFormat="1" ht="30" customHeight="1">
      <c r="A88" s="16" t="s">
        <v>94</v>
      </c>
      <c r="B88" s="51">
        <f>'Standard values'!B88</f>
        <v>0</v>
      </c>
      <c r="C88" s="51">
        <f>'Standard values'!C88</f>
        <v>0</v>
      </c>
      <c r="D88" s="51">
        <f>'Standard values'!D88</f>
        <v>0</v>
      </c>
      <c r="E88" s="51">
        <f>'Standard values'!E88</f>
        <v>0</v>
      </c>
      <c r="F88" s="51">
        <f>'Standard values'!F88</f>
        <v>0</v>
      </c>
      <c r="G88" s="51">
        <f>'Standard values'!G88</f>
        <v>0</v>
      </c>
      <c r="H88" s="52">
        <f aca="true" t="shared" si="14" ref="H88:I103">P88</f>
        <v>0</v>
      </c>
      <c r="I88" s="52">
        <f t="shared" si="14"/>
        <v>0</v>
      </c>
      <c r="J88" s="53">
        <f t="shared" si="3"/>
        <v>0</v>
      </c>
      <c r="K88" s="54">
        <f t="shared" si="4"/>
        <v>0</v>
      </c>
      <c r="L88" s="55">
        <f t="shared" si="5"/>
        <v>0</v>
      </c>
      <c r="M88" s="55">
        <f t="shared" si="6"/>
        <v>0</v>
      </c>
      <c r="N88" s="55">
        <f t="shared" si="7"/>
        <v>0</v>
      </c>
      <c r="O88" s="53">
        <f t="shared" si="8"/>
        <v>0</v>
      </c>
      <c r="P88" s="54">
        <f t="shared" si="9"/>
        <v>0</v>
      </c>
      <c r="Q88" s="54">
        <f aca="true" t="shared" si="15" ref="Q88:Q123">P88*U88</f>
        <v>0</v>
      </c>
      <c r="R88" s="61">
        <v>100</v>
      </c>
      <c r="S88" s="17">
        <f>1.87/1000</f>
        <v>0.0018700000000000001</v>
      </c>
      <c r="T88" s="57">
        <f t="shared" si="13"/>
        <v>0.187</v>
      </c>
      <c r="U88" s="17">
        <v>0</v>
      </c>
      <c r="V88" s="58" t="s">
        <v>307</v>
      </c>
      <c r="X88" s="58"/>
      <c r="Y88" s="58"/>
      <c r="Z88" s="59"/>
      <c r="AD88" s="58"/>
      <c r="AE88" s="58"/>
      <c r="AF88" s="58"/>
    </row>
    <row r="89" spans="1:32" s="17" customFormat="1" ht="30" customHeight="1">
      <c r="A89" s="16" t="s">
        <v>95</v>
      </c>
      <c r="B89" s="51">
        <f>'Standard values'!B89</f>
        <v>0</v>
      </c>
      <c r="C89" s="51">
        <f>'Standard values'!C89</f>
        <v>0</v>
      </c>
      <c r="D89" s="51">
        <f>'Standard values'!D89</f>
        <v>0</v>
      </c>
      <c r="E89" s="51">
        <f>'Standard values'!E89</f>
        <v>0</v>
      </c>
      <c r="F89" s="51">
        <f>'Standard values'!F89</f>
        <v>0</v>
      </c>
      <c r="G89" s="51">
        <f>'Standard values'!G89</f>
        <v>0</v>
      </c>
      <c r="H89" s="52">
        <f t="shared" si="14"/>
        <v>0</v>
      </c>
      <c r="I89" s="52">
        <f t="shared" si="14"/>
        <v>0</v>
      </c>
      <c r="J89" s="53">
        <f aca="true" t="shared" si="16" ref="J89:J123">D89*R89</f>
        <v>0</v>
      </c>
      <c r="K89" s="54">
        <f aca="true" t="shared" si="17" ref="K89:K123">C89*28.3495</f>
        <v>0</v>
      </c>
      <c r="L89" s="55">
        <f aca="true" t="shared" si="18" ref="L89:L123">E89*100</f>
        <v>0</v>
      </c>
      <c r="M89" s="55">
        <f aca="true" t="shared" si="19" ref="M89:M123">F89*300</f>
        <v>0</v>
      </c>
      <c r="N89" s="55">
        <f aca="true" t="shared" si="20" ref="N89:N123">G89*120</f>
        <v>0</v>
      </c>
      <c r="O89" s="53">
        <f aca="true" t="shared" si="21" ref="O89:O123">B89+SUM(J89:N89)</f>
        <v>0</v>
      </c>
      <c r="P89" s="54">
        <f aca="true" t="shared" si="22" ref="P89:P123">S89*O89</f>
        <v>0</v>
      </c>
      <c r="Q89" s="54">
        <f t="shared" si="15"/>
        <v>0</v>
      </c>
      <c r="R89" s="61">
        <v>40</v>
      </c>
      <c r="S89" s="17">
        <f>2.85/500</f>
        <v>0.0057</v>
      </c>
      <c r="T89" s="57">
        <f t="shared" si="13"/>
        <v>0.5700000000000001</v>
      </c>
      <c r="U89" s="17">
        <v>0</v>
      </c>
      <c r="V89" s="58" t="s">
        <v>308</v>
      </c>
      <c r="X89" s="58"/>
      <c r="Y89" s="58"/>
      <c r="Z89" s="59"/>
      <c r="AD89" s="58"/>
      <c r="AE89" s="58"/>
      <c r="AF89" s="58"/>
    </row>
    <row r="90" spans="1:32" s="17" customFormat="1" ht="30" customHeight="1">
      <c r="A90" s="16" t="s">
        <v>97</v>
      </c>
      <c r="B90" s="51">
        <f>'Standard values'!B90</f>
        <v>0</v>
      </c>
      <c r="C90" s="51">
        <f>'Standard values'!C90</f>
        <v>0</v>
      </c>
      <c r="D90" s="51">
        <f>'Standard values'!D90</f>
        <v>0</v>
      </c>
      <c r="E90" s="51">
        <f>'Standard values'!E90</f>
        <v>0</v>
      </c>
      <c r="F90" s="51">
        <f>'Standard values'!F90</f>
        <v>0</v>
      </c>
      <c r="G90" s="51">
        <f>'Standard values'!G90</f>
        <v>0</v>
      </c>
      <c r="H90" s="52">
        <f t="shared" si="14"/>
        <v>0</v>
      </c>
      <c r="I90" s="52">
        <f t="shared" si="14"/>
        <v>0</v>
      </c>
      <c r="J90" s="53">
        <f t="shared" si="16"/>
        <v>0</v>
      </c>
      <c r="K90" s="54">
        <f t="shared" si="17"/>
        <v>0</v>
      </c>
      <c r="L90" s="55">
        <f t="shared" si="18"/>
        <v>0</v>
      </c>
      <c r="M90" s="55">
        <f t="shared" si="19"/>
        <v>0</v>
      </c>
      <c r="N90" s="55">
        <f t="shared" si="20"/>
        <v>0</v>
      </c>
      <c r="O90" s="53">
        <f t="shared" si="21"/>
        <v>0</v>
      </c>
      <c r="P90" s="54">
        <f t="shared" si="22"/>
        <v>0</v>
      </c>
      <c r="Q90" s="54">
        <f t="shared" si="15"/>
        <v>0</v>
      </c>
      <c r="R90" s="61">
        <v>14</v>
      </c>
      <c r="S90" s="17">
        <f>(1.1/9)/14</f>
        <v>0.00873015873015873</v>
      </c>
      <c r="T90" s="57">
        <f t="shared" si="13"/>
        <v>0.873015873015873</v>
      </c>
      <c r="U90" s="17">
        <v>0</v>
      </c>
      <c r="V90" s="58" t="s">
        <v>311</v>
      </c>
      <c r="X90" s="58"/>
      <c r="Y90" s="58"/>
      <c r="Z90" s="59"/>
      <c r="AD90" s="58"/>
      <c r="AE90" s="58"/>
      <c r="AF90" s="58"/>
    </row>
    <row r="91" spans="1:32" s="17" customFormat="1" ht="30" customHeight="1">
      <c r="A91" s="60" t="s">
        <v>98</v>
      </c>
      <c r="B91" s="51">
        <f>'Standard values'!B91</f>
        <v>0</v>
      </c>
      <c r="C91" s="51">
        <f>'Standard values'!C91</f>
        <v>0</v>
      </c>
      <c r="D91" s="51">
        <f>'Standard values'!D91</f>
        <v>0</v>
      </c>
      <c r="E91" s="51">
        <f>'Standard values'!E91</f>
        <v>0</v>
      </c>
      <c r="F91" s="51">
        <f>'Standard values'!F91</f>
        <v>0</v>
      </c>
      <c r="G91" s="51">
        <f>'Standard values'!G91</f>
        <v>0</v>
      </c>
      <c r="H91" s="52">
        <f t="shared" si="14"/>
        <v>0</v>
      </c>
      <c r="I91" s="52">
        <f t="shared" si="14"/>
        <v>0</v>
      </c>
      <c r="J91" s="53">
        <f t="shared" si="16"/>
        <v>0</v>
      </c>
      <c r="K91" s="54">
        <f t="shared" si="17"/>
        <v>0</v>
      </c>
      <c r="L91" s="55">
        <f t="shared" si="18"/>
        <v>0</v>
      </c>
      <c r="M91" s="55">
        <f t="shared" si="19"/>
        <v>0</v>
      </c>
      <c r="N91" s="55">
        <f t="shared" si="20"/>
        <v>0</v>
      </c>
      <c r="O91" s="53">
        <f t="shared" si="21"/>
        <v>0</v>
      </c>
      <c r="P91" s="54">
        <f t="shared" si="22"/>
        <v>0</v>
      </c>
      <c r="Q91" s="54">
        <f t="shared" si="15"/>
        <v>0</v>
      </c>
      <c r="R91" s="15">
        <v>50</v>
      </c>
      <c r="S91" s="17">
        <f>0.5/50</f>
        <v>0.01</v>
      </c>
      <c r="T91" s="57">
        <f t="shared" si="13"/>
        <v>1</v>
      </c>
      <c r="U91" s="17">
        <v>0.1</v>
      </c>
      <c r="V91" s="58" t="s">
        <v>313</v>
      </c>
      <c r="X91" s="58"/>
      <c r="Y91" s="58"/>
      <c r="Z91" s="59"/>
      <c r="AD91" s="58"/>
      <c r="AE91" s="58"/>
      <c r="AF91" s="58"/>
    </row>
    <row r="92" spans="1:32" s="17" customFormat="1" ht="30" customHeight="1">
      <c r="A92" s="16" t="s">
        <v>99</v>
      </c>
      <c r="B92" s="51">
        <f>'Standard values'!B92</f>
        <v>0</v>
      </c>
      <c r="C92" s="51">
        <f>'Standard values'!C92</f>
        <v>0</v>
      </c>
      <c r="D92" s="51">
        <f>'Standard values'!D92</f>
        <v>0</v>
      </c>
      <c r="E92" s="51">
        <f>'Standard values'!E92</f>
        <v>0</v>
      </c>
      <c r="F92" s="51">
        <f>'Standard values'!F92</f>
        <v>0</v>
      </c>
      <c r="G92" s="51">
        <f>'Standard values'!G92</f>
        <v>0</v>
      </c>
      <c r="H92" s="52">
        <f t="shared" si="14"/>
        <v>0</v>
      </c>
      <c r="I92" s="52">
        <f t="shared" si="14"/>
        <v>0</v>
      </c>
      <c r="J92" s="53">
        <f t="shared" si="16"/>
        <v>0</v>
      </c>
      <c r="K92" s="54">
        <f t="shared" si="17"/>
        <v>0</v>
      </c>
      <c r="L92" s="55">
        <f t="shared" si="18"/>
        <v>0</v>
      </c>
      <c r="M92" s="55">
        <f t="shared" si="19"/>
        <v>0</v>
      </c>
      <c r="N92" s="55">
        <f t="shared" si="20"/>
        <v>0</v>
      </c>
      <c r="O92" s="53">
        <f t="shared" si="21"/>
        <v>0</v>
      </c>
      <c r="P92" s="54">
        <f t="shared" si="22"/>
        <v>0</v>
      </c>
      <c r="Q92" s="54">
        <f t="shared" si="15"/>
        <v>0</v>
      </c>
      <c r="R92" s="15">
        <v>500</v>
      </c>
      <c r="S92" s="17">
        <f>2.35/350</f>
        <v>0.006714285714285714</v>
      </c>
      <c r="T92" s="57">
        <f t="shared" si="13"/>
        <v>0.6714285714285715</v>
      </c>
      <c r="U92" s="17">
        <v>0</v>
      </c>
      <c r="V92" s="58" t="s">
        <v>314</v>
      </c>
      <c r="X92" s="58"/>
      <c r="Y92" s="58"/>
      <c r="Z92" s="59"/>
      <c r="AD92" s="58"/>
      <c r="AE92" s="58"/>
      <c r="AF92" s="58"/>
    </row>
    <row r="93" spans="1:32" s="17" customFormat="1" ht="30" customHeight="1">
      <c r="A93" s="18" t="s">
        <v>100</v>
      </c>
      <c r="B93" s="51">
        <f>'Standard values'!B93</f>
        <v>0</v>
      </c>
      <c r="C93" s="51">
        <f>'Standard values'!C93</f>
        <v>0</v>
      </c>
      <c r="D93" s="51">
        <f>'Standard values'!D93</f>
        <v>0</v>
      </c>
      <c r="E93" s="51">
        <f>'Standard values'!E93</f>
        <v>0</v>
      </c>
      <c r="F93" s="51">
        <f>'Standard values'!F93</f>
        <v>0</v>
      </c>
      <c r="G93" s="51">
        <f>'Standard values'!G93</f>
        <v>0</v>
      </c>
      <c r="H93" s="52">
        <f t="shared" si="14"/>
        <v>0</v>
      </c>
      <c r="I93" s="52">
        <f t="shared" si="14"/>
        <v>0</v>
      </c>
      <c r="J93" s="53">
        <f t="shared" si="16"/>
        <v>0</v>
      </c>
      <c r="K93" s="54">
        <f t="shared" si="17"/>
        <v>0</v>
      </c>
      <c r="L93" s="55">
        <f t="shared" si="18"/>
        <v>0</v>
      </c>
      <c r="M93" s="55">
        <f t="shared" si="19"/>
        <v>0</v>
      </c>
      <c r="N93" s="55">
        <f t="shared" si="20"/>
        <v>0</v>
      </c>
      <c r="O93" s="53">
        <f t="shared" si="21"/>
        <v>0</v>
      </c>
      <c r="P93" s="54">
        <f t="shared" si="22"/>
        <v>0</v>
      </c>
      <c r="Q93" s="54">
        <f t="shared" si="15"/>
        <v>0</v>
      </c>
      <c r="R93" s="15">
        <v>75</v>
      </c>
      <c r="S93" s="17">
        <f>2.45/350</f>
        <v>0.007</v>
      </c>
      <c r="T93" s="57">
        <f t="shared" si="13"/>
        <v>0.7000000000000001</v>
      </c>
      <c r="U93" s="17">
        <v>0</v>
      </c>
      <c r="V93" s="58" t="s">
        <v>317</v>
      </c>
      <c r="X93" s="58"/>
      <c r="Y93" s="58"/>
      <c r="Z93" s="59"/>
      <c r="AD93" s="58"/>
      <c r="AE93" s="58"/>
      <c r="AF93" s="58"/>
    </row>
    <row r="94" spans="1:32" s="17" customFormat="1" ht="30" customHeight="1">
      <c r="A94" s="16" t="s">
        <v>101</v>
      </c>
      <c r="B94" s="51">
        <f>'Standard values'!B94</f>
        <v>0</v>
      </c>
      <c r="C94" s="51">
        <f>'Standard values'!C94</f>
        <v>0</v>
      </c>
      <c r="D94" s="51">
        <f>'Standard values'!D94</f>
        <v>0</v>
      </c>
      <c r="E94" s="51">
        <f>'Standard values'!E94</f>
        <v>0</v>
      </c>
      <c r="F94" s="51">
        <f>'Standard values'!F94</f>
        <v>0</v>
      </c>
      <c r="G94" s="51">
        <f>'Standard values'!G94</f>
        <v>0</v>
      </c>
      <c r="H94" s="52">
        <f t="shared" si="14"/>
        <v>0</v>
      </c>
      <c r="I94" s="52">
        <f t="shared" si="14"/>
        <v>0</v>
      </c>
      <c r="J94" s="53">
        <f t="shared" si="16"/>
        <v>0</v>
      </c>
      <c r="K94" s="54">
        <f t="shared" si="17"/>
        <v>0</v>
      </c>
      <c r="L94" s="55">
        <f t="shared" si="18"/>
        <v>0</v>
      </c>
      <c r="M94" s="55">
        <f t="shared" si="19"/>
        <v>0</v>
      </c>
      <c r="N94" s="55">
        <f t="shared" si="20"/>
        <v>0</v>
      </c>
      <c r="O94" s="53">
        <f t="shared" si="21"/>
        <v>0</v>
      </c>
      <c r="P94" s="54">
        <f t="shared" si="22"/>
        <v>0</v>
      </c>
      <c r="Q94" s="54">
        <f t="shared" si="15"/>
        <v>0</v>
      </c>
      <c r="R94" s="17">
        <v>220</v>
      </c>
      <c r="S94" s="17">
        <f>3.35/1000</f>
        <v>0.00335</v>
      </c>
      <c r="T94" s="57">
        <f t="shared" si="13"/>
        <v>0.335</v>
      </c>
      <c r="U94" s="17">
        <v>0</v>
      </c>
      <c r="V94" s="58" t="s">
        <v>319</v>
      </c>
      <c r="X94" s="58"/>
      <c r="Y94" s="58"/>
      <c r="Z94" s="59"/>
      <c r="AD94" s="58"/>
      <c r="AE94" s="58"/>
      <c r="AF94" s="58"/>
    </row>
    <row r="95" spans="1:32" s="17" customFormat="1" ht="30" customHeight="1">
      <c r="A95" s="16" t="s">
        <v>102</v>
      </c>
      <c r="B95" s="51">
        <f>'Standard values'!B95</f>
        <v>0</v>
      </c>
      <c r="C95" s="51">
        <f>'Standard values'!C95</f>
        <v>0</v>
      </c>
      <c r="D95" s="51">
        <f>'Standard values'!D95</f>
        <v>0</v>
      </c>
      <c r="E95" s="51">
        <f>'Standard values'!E95</f>
        <v>0</v>
      </c>
      <c r="F95" s="51">
        <f>'Standard values'!F95</f>
        <v>0</v>
      </c>
      <c r="G95" s="51">
        <f>'Standard values'!G95</f>
        <v>0</v>
      </c>
      <c r="H95" s="52">
        <f t="shared" si="14"/>
        <v>0</v>
      </c>
      <c r="I95" s="52">
        <f t="shared" si="14"/>
        <v>0</v>
      </c>
      <c r="J95" s="53">
        <f t="shared" si="16"/>
        <v>0</v>
      </c>
      <c r="K95" s="54">
        <f t="shared" si="17"/>
        <v>0</v>
      </c>
      <c r="L95" s="55">
        <f t="shared" si="18"/>
        <v>0</v>
      </c>
      <c r="M95" s="55">
        <f t="shared" si="19"/>
        <v>0</v>
      </c>
      <c r="N95" s="55">
        <f t="shared" si="20"/>
        <v>0</v>
      </c>
      <c r="O95" s="53">
        <f t="shared" si="21"/>
        <v>0</v>
      </c>
      <c r="P95" s="54">
        <f t="shared" si="22"/>
        <v>0</v>
      </c>
      <c r="Q95" s="54">
        <f t="shared" si="15"/>
        <v>0</v>
      </c>
      <c r="R95" s="15">
        <v>40</v>
      </c>
      <c r="S95" s="17">
        <f>2.85/(40*3)</f>
        <v>0.02375</v>
      </c>
      <c r="T95" s="57">
        <f t="shared" si="13"/>
        <v>2.375</v>
      </c>
      <c r="U95" s="17">
        <v>1</v>
      </c>
      <c r="V95" s="58" t="s">
        <v>321</v>
      </c>
      <c r="X95" s="58"/>
      <c r="Y95" s="58"/>
      <c r="Z95" s="59"/>
      <c r="AD95" s="58"/>
      <c r="AE95" s="58"/>
      <c r="AF95" s="58"/>
    </row>
    <row r="96" spans="1:32" s="17" customFormat="1" ht="30" customHeight="1">
      <c r="A96" s="18" t="s">
        <v>103</v>
      </c>
      <c r="B96" s="51">
        <f>'Standard values'!B96</f>
        <v>0</v>
      </c>
      <c r="C96" s="51">
        <f>'Standard values'!C96</f>
        <v>0</v>
      </c>
      <c r="D96" s="51">
        <f>'Standard values'!D96</f>
        <v>0</v>
      </c>
      <c r="E96" s="51">
        <f>'Standard values'!E96</f>
        <v>0</v>
      </c>
      <c r="F96" s="51">
        <f>'Standard values'!F96</f>
        <v>0</v>
      </c>
      <c r="G96" s="51">
        <f>'Standard values'!G96</f>
        <v>0</v>
      </c>
      <c r="H96" s="52">
        <f t="shared" si="14"/>
        <v>0</v>
      </c>
      <c r="I96" s="52">
        <f t="shared" si="14"/>
        <v>0</v>
      </c>
      <c r="J96" s="53">
        <f t="shared" si="16"/>
        <v>0</v>
      </c>
      <c r="K96" s="54">
        <f t="shared" si="17"/>
        <v>0</v>
      </c>
      <c r="L96" s="55">
        <f t="shared" si="18"/>
        <v>0</v>
      </c>
      <c r="M96" s="55">
        <f t="shared" si="19"/>
        <v>0</v>
      </c>
      <c r="N96" s="55">
        <f t="shared" si="20"/>
        <v>0</v>
      </c>
      <c r="O96" s="53">
        <f t="shared" si="21"/>
        <v>0</v>
      </c>
      <c r="P96" s="54">
        <f t="shared" si="22"/>
        <v>0</v>
      </c>
      <c r="Q96" s="54">
        <f t="shared" si="15"/>
        <v>0</v>
      </c>
      <c r="R96" s="17">
        <v>150</v>
      </c>
      <c r="S96" s="17">
        <f>0.4/150</f>
        <v>0.002666666666666667</v>
      </c>
      <c r="T96" s="57">
        <f t="shared" si="13"/>
        <v>0.2666666666666667</v>
      </c>
      <c r="U96" s="17">
        <v>0.6</v>
      </c>
      <c r="V96" s="58" t="s">
        <v>322</v>
      </c>
      <c r="X96" s="58"/>
      <c r="Y96" s="58"/>
      <c r="Z96" s="59"/>
      <c r="AD96" s="58"/>
      <c r="AE96" s="58"/>
      <c r="AF96" s="58"/>
    </row>
    <row r="97" spans="1:32" s="17" customFormat="1" ht="30" customHeight="1">
      <c r="A97" s="18" t="s">
        <v>104</v>
      </c>
      <c r="B97" s="51">
        <f>'Standard values'!B97</f>
        <v>0</v>
      </c>
      <c r="C97" s="51">
        <f>'Standard values'!C97</f>
        <v>0</v>
      </c>
      <c r="D97" s="51">
        <f>'Standard values'!D97</f>
        <v>0</v>
      </c>
      <c r="E97" s="51">
        <f>'Standard values'!E97</f>
        <v>0</v>
      </c>
      <c r="F97" s="51">
        <f>'Standard values'!F97</f>
        <v>0</v>
      </c>
      <c r="G97" s="51">
        <f>'Standard values'!G97</f>
        <v>0</v>
      </c>
      <c r="H97" s="52">
        <f t="shared" si="14"/>
        <v>0</v>
      </c>
      <c r="I97" s="52">
        <f t="shared" si="14"/>
        <v>0</v>
      </c>
      <c r="J97" s="53">
        <f t="shared" si="16"/>
        <v>0</v>
      </c>
      <c r="K97" s="54">
        <f t="shared" si="17"/>
        <v>0</v>
      </c>
      <c r="L97" s="55">
        <f t="shared" si="18"/>
        <v>0</v>
      </c>
      <c r="M97" s="55">
        <f t="shared" si="19"/>
        <v>0</v>
      </c>
      <c r="N97" s="55">
        <f t="shared" si="20"/>
        <v>0</v>
      </c>
      <c r="O97" s="53">
        <f t="shared" si="21"/>
        <v>0</v>
      </c>
      <c r="P97" s="54">
        <f t="shared" si="22"/>
        <v>0</v>
      </c>
      <c r="Q97" s="54">
        <f t="shared" si="15"/>
        <v>0</v>
      </c>
      <c r="R97" s="15">
        <v>175</v>
      </c>
      <c r="S97" s="17">
        <f>0.625/150</f>
        <v>0.004166666666666667</v>
      </c>
      <c r="T97" s="57">
        <f t="shared" si="13"/>
        <v>0.4166666666666667</v>
      </c>
      <c r="U97" s="17">
        <v>0.5</v>
      </c>
      <c r="V97" s="58" t="s">
        <v>324</v>
      </c>
      <c r="X97" s="58"/>
      <c r="Y97" s="58"/>
      <c r="Z97" s="59"/>
      <c r="AD97" s="58"/>
      <c r="AE97" s="58"/>
      <c r="AF97" s="58"/>
    </row>
    <row r="98" spans="1:32" s="17" customFormat="1" ht="30" customHeight="1">
      <c r="A98" s="16" t="s">
        <v>105</v>
      </c>
      <c r="B98" s="51">
        <f>'Standard values'!B98</f>
        <v>0</v>
      </c>
      <c r="C98" s="51">
        <f>'Standard values'!C98</f>
        <v>0</v>
      </c>
      <c r="D98" s="51">
        <f>'Standard values'!D98</f>
        <v>0</v>
      </c>
      <c r="E98" s="51">
        <f>'Standard values'!E98</f>
        <v>0</v>
      </c>
      <c r="F98" s="51">
        <f>'Standard values'!F98</f>
        <v>0</v>
      </c>
      <c r="G98" s="51">
        <f>'Standard values'!G98</f>
        <v>0</v>
      </c>
      <c r="H98" s="52">
        <f t="shared" si="14"/>
        <v>0</v>
      </c>
      <c r="I98" s="52">
        <f t="shared" si="14"/>
        <v>0</v>
      </c>
      <c r="J98" s="53">
        <f t="shared" si="16"/>
        <v>0</v>
      </c>
      <c r="K98" s="54">
        <f t="shared" si="17"/>
        <v>0</v>
      </c>
      <c r="L98" s="55">
        <f t="shared" si="18"/>
        <v>0</v>
      </c>
      <c r="M98" s="55">
        <f t="shared" si="19"/>
        <v>0</v>
      </c>
      <c r="N98" s="55">
        <f t="shared" si="20"/>
        <v>0</v>
      </c>
      <c r="O98" s="53">
        <f t="shared" si="21"/>
        <v>0</v>
      </c>
      <c r="P98" s="54">
        <f t="shared" si="22"/>
        <v>0</v>
      </c>
      <c r="Q98" s="54">
        <f t="shared" si="15"/>
        <v>0</v>
      </c>
      <c r="R98" s="17">
        <v>1</v>
      </c>
      <c r="S98" s="17">
        <f>3.65/400</f>
        <v>0.009125</v>
      </c>
      <c r="T98" s="57">
        <f t="shared" si="13"/>
        <v>0.9125</v>
      </c>
      <c r="U98" s="15">
        <v>0</v>
      </c>
      <c r="V98" s="58" t="s">
        <v>326</v>
      </c>
      <c r="X98" s="58"/>
      <c r="Y98" s="58"/>
      <c r="Z98" s="59"/>
      <c r="AD98" s="58"/>
      <c r="AE98" s="58"/>
      <c r="AF98" s="58"/>
    </row>
    <row r="99" spans="1:32" s="17" customFormat="1" ht="30" customHeight="1">
      <c r="A99" s="18" t="s">
        <v>106</v>
      </c>
      <c r="B99" s="51">
        <f>'Standard values'!B99</f>
        <v>0</v>
      </c>
      <c r="C99" s="51">
        <f>'Standard values'!C99</f>
        <v>0</v>
      </c>
      <c r="D99" s="51">
        <f>'Standard values'!D99</f>
        <v>0</v>
      </c>
      <c r="E99" s="51">
        <f>'Standard values'!E99</f>
        <v>0</v>
      </c>
      <c r="F99" s="51">
        <f>'Standard values'!F99</f>
        <v>0</v>
      </c>
      <c r="G99" s="51">
        <f>'Standard values'!G99</f>
        <v>0</v>
      </c>
      <c r="H99" s="52">
        <f t="shared" si="14"/>
        <v>0</v>
      </c>
      <c r="I99" s="52">
        <f t="shared" si="14"/>
        <v>0</v>
      </c>
      <c r="J99" s="53">
        <f t="shared" si="16"/>
        <v>0</v>
      </c>
      <c r="K99" s="54">
        <f t="shared" si="17"/>
        <v>0</v>
      </c>
      <c r="L99" s="55">
        <f t="shared" si="18"/>
        <v>0</v>
      </c>
      <c r="M99" s="55">
        <f t="shared" si="19"/>
        <v>0</v>
      </c>
      <c r="N99" s="55">
        <f t="shared" si="20"/>
        <v>0</v>
      </c>
      <c r="O99" s="53">
        <f t="shared" si="21"/>
        <v>0</v>
      </c>
      <c r="P99" s="54">
        <f t="shared" si="22"/>
        <v>0</v>
      </c>
      <c r="Q99" s="54">
        <f t="shared" si="15"/>
        <v>0</v>
      </c>
      <c r="R99" s="17">
        <v>80</v>
      </c>
      <c r="S99" s="17">
        <f>1.1/150</f>
        <v>0.007333333333333334</v>
      </c>
      <c r="T99" s="57">
        <f t="shared" si="13"/>
        <v>0.7333333333333334</v>
      </c>
      <c r="U99" s="17">
        <v>0.1</v>
      </c>
      <c r="V99" s="58" t="s">
        <v>329</v>
      </c>
      <c r="X99" s="58"/>
      <c r="Y99" s="58"/>
      <c r="Z99" s="59"/>
      <c r="AD99" s="58"/>
      <c r="AE99" s="58"/>
      <c r="AF99" s="58"/>
    </row>
    <row r="100" spans="1:32" s="17" customFormat="1" ht="30" customHeight="1">
      <c r="A100" s="18" t="s">
        <v>107</v>
      </c>
      <c r="B100" s="51">
        <f>'Standard values'!B100</f>
        <v>0</v>
      </c>
      <c r="C100" s="51">
        <f>'Standard values'!C100</f>
        <v>0</v>
      </c>
      <c r="D100" s="51">
        <f>'Standard values'!D100</f>
        <v>0</v>
      </c>
      <c r="E100" s="51">
        <f>'Standard values'!E100</f>
        <v>0</v>
      </c>
      <c r="F100" s="51">
        <f>'Standard values'!F100</f>
        <v>0</v>
      </c>
      <c r="G100" s="51">
        <f>'Standard values'!G100</f>
        <v>0</v>
      </c>
      <c r="H100" s="52">
        <f t="shared" si="14"/>
        <v>0</v>
      </c>
      <c r="I100" s="52">
        <f t="shared" si="14"/>
        <v>0</v>
      </c>
      <c r="J100" s="53">
        <f t="shared" si="16"/>
        <v>0</v>
      </c>
      <c r="K100" s="54">
        <f t="shared" si="17"/>
        <v>0</v>
      </c>
      <c r="L100" s="55">
        <f t="shared" si="18"/>
        <v>0</v>
      </c>
      <c r="M100" s="55">
        <f t="shared" si="19"/>
        <v>0</v>
      </c>
      <c r="N100" s="55">
        <f t="shared" si="20"/>
        <v>0</v>
      </c>
      <c r="O100" s="53">
        <f t="shared" si="21"/>
        <v>0</v>
      </c>
      <c r="P100" s="54">
        <f t="shared" si="22"/>
        <v>0</v>
      </c>
      <c r="Q100" s="54">
        <f t="shared" si="15"/>
        <v>0</v>
      </c>
      <c r="R100" s="61">
        <v>40</v>
      </c>
      <c r="S100" s="17">
        <f>7.4/1000</f>
        <v>0.0074</v>
      </c>
      <c r="T100" s="57">
        <f t="shared" si="13"/>
        <v>0.74</v>
      </c>
      <c r="U100" s="17">
        <v>0.5</v>
      </c>
      <c r="V100" s="58" t="s">
        <v>281</v>
      </c>
      <c r="X100" s="58"/>
      <c r="Y100" s="58"/>
      <c r="Z100" s="59"/>
      <c r="AD100" s="58"/>
      <c r="AE100" s="58"/>
      <c r="AF100" s="58"/>
    </row>
    <row r="101" spans="1:32" s="17" customFormat="1" ht="30" customHeight="1">
      <c r="A101" s="18" t="s">
        <v>109</v>
      </c>
      <c r="B101" s="51">
        <f>'Standard values'!B101</f>
        <v>0</v>
      </c>
      <c r="C101" s="51">
        <f>'Standard values'!C101</f>
        <v>0</v>
      </c>
      <c r="D101" s="51">
        <f>'Standard values'!D101</f>
        <v>0</v>
      </c>
      <c r="E101" s="51">
        <f>'Standard values'!E101</f>
        <v>0</v>
      </c>
      <c r="F101" s="51">
        <f>'Standard values'!F101</f>
        <v>0</v>
      </c>
      <c r="G101" s="51">
        <f>'Standard values'!G101</f>
        <v>0</v>
      </c>
      <c r="H101" s="52">
        <f t="shared" si="14"/>
        <v>0</v>
      </c>
      <c r="I101" s="52">
        <f t="shared" si="14"/>
        <v>0</v>
      </c>
      <c r="J101" s="53">
        <f t="shared" si="16"/>
        <v>0</v>
      </c>
      <c r="K101" s="54">
        <f t="shared" si="17"/>
        <v>0</v>
      </c>
      <c r="L101" s="55">
        <f t="shared" si="18"/>
        <v>0</v>
      </c>
      <c r="M101" s="55">
        <f t="shared" si="19"/>
        <v>0</v>
      </c>
      <c r="N101" s="55">
        <f t="shared" si="20"/>
        <v>0</v>
      </c>
      <c r="O101" s="53">
        <f t="shared" si="21"/>
        <v>0</v>
      </c>
      <c r="P101" s="54">
        <f t="shared" si="22"/>
        <v>0</v>
      </c>
      <c r="Q101" s="54">
        <f t="shared" si="15"/>
        <v>0</v>
      </c>
      <c r="R101" s="15">
        <v>100</v>
      </c>
      <c r="S101" s="17">
        <f>1.12/1000</f>
        <v>0.0011200000000000001</v>
      </c>
      <c r="T101" s="57">
        <f t="shared" si="13"/>
        <v>0.11200000000000002</v>
      </c>
      <c r="U101" s="17">
        <v>0</v>
      </c>
      <c r="V101" s="58" t="s">
        <v>331</v>
      </c>
      <c r="X101" s="58"/>
      <c r="Y101" s="58"/>
      <c r="Z101" s="59"/>
      <c r="AD101" s="58"/>
      <c r="AE101" s="58"/>
      <c r="AF101" s="58"/>
    </row>
    <row r="102" spans="1:32" s="17" customFormat="1" ht="30" customHeight="1">
      <c r="A102" s="18" t="s">
        <v>110</v>
      </c>
      <c r="B102" s="51">
        <f>'Standard values'!B102</f>
        <v>0</v>
      </c>
      <c r="C102" s="51">
        <f>'Standard values'!C102</f>
        <v>0</v>
      </c>
      <c r="D102" s="51">
        <f>'Standard values'!D102</f>
        <v>0</v>
      </c>
      <c r="E102" s="51">
        <f>'Standard values'!E102</f>
        <v>0</v>
      </c>
      <c r="F102" s="51">
        <f>'Standard values'!F102</f>
        <v>0</v>
      </c>
      <c r="G102" s="51">
        <f>'Standard values'!G102</f>
        <v>0</v>
      </c>
      <c r="H102" s="52">
        <f t="shared" si="14"/>
        <v>0</v>
      </c>
      <c r="I102" s="52">
        <f t="shared" si="14"/>
        <v>0</v>
      </c>
      <c r="J102" s="53">
        <f t="shared" si="16"/>
        <v>0</v>
      </c>
      <c r="K102" s="54">
        <f t="shared" si="17"/>
        <v>0</v>
      </c>
      <c r="L102" s="55">
        <f t="shared" si="18"/>
        <v>0</v>
      </c>
      <c r="M102" s="55">
        <f t="shared" si="19"/>
        <v>0</v>
      </c>
      <c r="N102" s="55">
        <f t="shared" si="20"/>
        <v>0</v>
      </c>
      <c r="O102" s="53">
        <f t="shared" si="21"/>
        <v>0</v>
      </c>
      <c r="P102" s="54">
        <f t="shared" si="22"/>
        <v>0</v>
      </c>
      <c r="Q102" s="54">
        <f t="shared" si="15"/>
        <v>0</v>
      </c>
      <c r="R102" s="15">
        <v>30</v>
      </c>
      <c r="S102" s="17">
        <f>5.34/1000</f>
        <v>0.00534</v>
      </c>
      <c r="T102" s="57">
        <f t="shared" si="13"/>
        <v>0.534</v>
      </c>
      <c r="U102" s="17">
        <v>0</v>
      </c>
      <c r="V102" s="58" t="s">
        <v>333</v>
      </c>
      <c r="X102" s="58"/>
      <c r="Y102" s="58"/>
      <c r="Z102" s="59"/>
      <c r="AD102" s="58"/>
      <c r="AE102" s="58"/>
      <c r="AF102" s="58"/>
    </row>
    <row r="103" spans="1:32" s="17" customFormat="1" ht="30" customHeight="1">
      <c r="A103" s="16" t="s">
        <v>111</v>
      </c>
      <c r="B103" s="51">
        <f>'Standard values'!B103</f>
        <v>0</v>
      </c>
      <c r="C103" s="51">
        <f>'Standard values'!C103</f>
        <v>0</v>
      </c>
      <c r="D103" s="51">
        <f>'Standard values'!D103</f>
        <v>0</v>
      </c>
      <c r="E103" s="51">
        <f>'Standard values'!E103</f>
        <v>0</v>
      </c>
      <c r="F103" s="51">
        <f>'Standard values'!F103</f>
        <v>0</v>
      </c>
      <c r="G103" s="51">
        <f>'Standard values'!G103</f>
        <v>0</v>
      </c>
      <c r="H103" s="52">
        <f t="shared" si="14"/>
        <v>0</v>
      </c>
      <c r="I103" s="52">
        <f t="shared" si="14"/>
        <v>0</v>
      </c>
      <c r="J103" s="53">
        <f t="shared" si="16"/>
        <v>0</v>
      </c>
      <c r="K103" s="54">
        <f t="shared" si="17"/>
        <v>0</v>
      </c>
      <c r="L103" s="55">
        <f t="shared" si="18"/>
        <v>0</v>
      </c>
      <c r="M103" s="55">
        <f t="shared" si="19"/>
        <v>0</v>
      </c>
      <c r="N103" s="55">
        <f t="shared" si="20"/>
        <v>0</v>
      </c>
      <c r="O103" s="53">
        <f t="shared" si="21"/>
        <v>0</v>
      </c>
      <c r="P103" s="54">
        <f t="shared" si="22"/>
        <v>0</v>
      </c>
      <c r="Q103" s="54">
        <f t="shared" si="15"/>
        <v>0</v>
      </c>
      <c r="R103" s="17">
        <v>80</v>
      </c>
      <c r="S103" s="17">
        <f>(3.55/3)/250</f>
        <v>0.004733333333333333</v>
      </c>
      <c r="T103" s="57">
        <f t="shared" si="13"/>
        <v>0.47333333333333333</v>
      </c>
      <c r="U103" s="15">
        <v>1</v>
      </c>
      <c r="V103" s="58" t="s">
        <v>334</v>
      </c>
      <c r="X103" s="58"/>
      <c r="Y103" s="58"/>
      <c r="Z103" s="59"/>
      <c r="AD103" s="58"/>
      <c r="AE103" s="58"/>
      <c r="AF103" s="58"/>
    </row>
    <row r="104" spans="1:32" s="17" customFormat="1" ht="30" customHeight="1">
      <c r="A104" s="18" t="s">
        <v>112</v>
      </c>
      <c r="B104" s="51">
        <f>'Standard values'!B104</f>
        <v>0</v>
      </c>
      <c r="C104" s="51">
        <f>'Standard values'!C104</f>
        <v>0</v>
      </c>
      <c r="D104" s="51">
        <f>'Standard values'!D104</f>
        <v>0</v>
      </c>
      <c r="E104" s="51">
        <f>'Standard values'!E104</f>
        <v>0</v>
      </c>
      <c r="F104" s="51">
        <f>'Standard values'!F104</f>
        <v>0</v>
      </c>
      <c r="G104" s="51">
        <f>'Standard values'!G104</f>
        <v>0</v>
      </c>
      <c r="H104" s="52">
        <f aca="true" t="shared" si="23" ref="H104:I119">P104</f>
        <v>0</v>
      </c>
      <c r="I104" s="52">
        <f t="shared" si="23"/>
        <v>0</v>
      </c>
      <c r="J104" s="53">
        <f t="shared" si="16"/>
        <v>0</v>
      </c>
      <c r="K104" s="54">
        <f t="shared" si="17"/>
        <v>0</v>
      </c>
      <c r="L104" s="55">
        <f t="shared" si="18"/>
        <v>0</v>
      </c>
      <c r="M104" s="55">
        <f t="shared" si="19"/>
        <v>0</v>
      </c>
      <c r="N104" s="55">
        <f t="shared" si="20"/>
        <v>0</v>
      </c>
      <c r="O104" s="53">
        <f t="shared" si="21"/>
        <v>0</v>
      </c>
      <c r="P104" s="54">
        <f t="shared" si="22"/>
        <v>0</v>
      </c>
      <c r="Q104" s="54">
        <f t="shared" si="15"/>
        <v>0</v>
      </c>
      <c r="S104" s="17">
        <f>10.67/1000</f>
        <v>0.01067</v>
      </c>
      <c r="T104" s="57">
        <f t="shared" si="13"/>
        <v>1.0670000000000002</v>
      </c>
      <c r="U104" s="17">
        <v>0</v>
      </c>
      <c r="V104" s="58" t="s">
        <v>337</v>
      </c>
      <c r="X104" s="58"/>
      <c r="Y104" s="58"/>
      <c r="Z104" s="59"/>
      <c r="AD104" s="58"/>
      <c r="AE104" s="58"/>
      <c r="AF104" s="58"/>
    </row>
    <row r="105" spans="1:32" s="17" customFormat="1" ht="30" customHeight="1">
      <c r="A105" s="18" t="s">
        <v>113</v>
      </c>
      <c r="B105" s="51">
        <f>'Standard values'!B105</f>
        <v>0</v>
      </c>
      <c r="C105" s="51">
        <f>'Standard values'!C105</f>
        <v>0</v>
      </c>
      <c r="D105" s="51">
        <f>'Standard values'!D105</f>
        <v>0</v>
      </c>
      <c r="E105" s="51">
        <f>'Standard values'!E105</f>
        <v>0</v>
      </c>
      <c r="F105" s="51">
        <f>'Standard values'!F105</f>
        <v>0</v>
      </c>
      <c r="G105" s="51">
        <f>'Standard values'!G105</f>
        <v>0</v>
      </c>
      <c r="H105" s="52">
        <f t="shared" si="23"/>
        <v>0</v>
      </c>
      <c r="I105" s="52">
        <f t="shared" si="23"/>
        <v>0</v>
      </c>
      <c r="J105" s="53">
        <f t="shared" si="16"/>
        <v>0</v>
      </c>
      <c r="K105" s="54">
        <f t="shared" si="17"/>
        <v>0</v>
      </c>
      <c r="L105" s="55">
        <f t="shared" si="18"/>
        <v>0</v>
      </c>
      <c r="M105" s="55">
        <f t="shared" si="19"/>
        <v>0</v>
      </c>
      <c r="N105" s="55">
        <f t="shared" si="20"/>
        <v>0</v>
      </c>
      <c r="O105" s="53">
        <f t="shared" si="21"/>
        <v>0</v>
      </c>
      <c r="P105" s="54">
        <f t="shared" si="22"/>
        <v>0</v>
      </c>
      <c r="Q105" s="54">
        <f t="shared" si="15"/>
        <v>0</v>
      </c>
      <c r="R105" s="15">
        <v>5</v>
      </c>
      <c r="S105" s="17">
        <f>2.25/200</f>
        <v>0.01125</v>
      </c>
      <c r="T105" s="57">
        <f t="shared" si="13"/>
        <v>1.125</v>
      </c>
      <c r="U105" s="17">
        <v>0</v>
      </c>
      <c r="V105" s="58" t="s">
        <v>339</v>
      </c>
      <c r="X105" s="58"/>
      <c r="Y105" s="58"/>
      <c r="Z105" s="59"/>
      <c r="AD105" s="58"/>
      <c r="AE105" s="58"/>
      <c r="AF105" s="58"/>
    </row>
    <row r="106" spans="1:32" s="17" customFormat="1" ht="30" customHeight="1">
      <c r="A106" s="16" t="s">
        <v>114</v>
      </c>
      <c r="B106" s="51">
        <f>'Standard values'!B106</f>
        <v>0</v>
      </c>
      <c r="C106" s="51">
        <f>'Standard values'!C106</f>
        <v>0</v>
      </c>
      <c r="D106" s="51">
        <f>'Standard values'!D106</f>
        <v>0</v>
      </c>
      <c r="E106" s="51">
        <f>'Standard values'!E106</f>
        <v>0</v>
      </c>
      <c r="F106" s="51">
        <f>'Standard values'!F106</f>
        <v>0</v>
      </c>
      <c r="G106" s="51">
        <f>'Standard values'!G106</f>
        <v>0</v>
      </c>
      <c r="H106" s="52">
        <f t="shared" si="23"/>
        <v>0</v>
      </c>
      <c r="I106" s="52">
        <f t="shared" si="23"/>
        <v>0</v>
      </c>
      <c r="J106" s="53">
        <f t="shared" si="16"/>
        <v>0</v>
      </c>
      <c r="K106" s="54">
        <f t="shared" si="17"/>
        <v>0</v>
      </c>
      <c r="L106" s="55">
        <f t="shared" si="18"/>
        <v>0</v>
      </c>
      <c r="M106" s="55">
        <f t="shared" si="19"/>
        <v>0</v>
      </c>
      <c r="N106" s="55">
        <f t="shared" si="20"/>
        <v>0</v>
      </c>
      <c r="O106" s="53">
        <f t="shared" si="21"/>
        <v>0</v>
      </c>
      <c r="P106" s="54">
        <f t="shared" si="22"/>
        <v>0</v>
      </c>
      <c r="Q106" s="54">
        <f t="shared" si="15"/>
        <v>0</v>
      </c>
      <c r="R106" s="15">
        <v>4</v>
      </c>
      <c r="S106" s="17">
        <f>22/1000</f>
        <v>0.022</v>
      </c>
      <c r="T106" s="57">
        <f t="shared" si="13"/>
        <v>2.1999999999999997</v>
      </c>
      <c r="U106" s="15">
        <v>0.6</v>
      </c>
      <c r="V106" s="17" t="s">
        <v>211</v>
      </c>
      <c r="X106" s="58"/>
      <c r="Y106" s="58"/>
      <c r="Z106" s="59"/>
      <c r="AD106" s="58"/>
      <c r="AE106" s="58"/>
      <c r="AF106" s="58"/>
    </row>
    <row r="107" spans="1:32" s="17" customFormat="1" ht="30" customHeight="1">
      <c r="A107" s="16" t="s">
        <v>115</v>
      </c>
      <c r="B107" s="51">
        <f>'Standard values'!B107</f>
        <v>0</v>
      </c>
      <c r="C107" s="51">
        <f>'Standard values'!C107</f>
        <v>0</v>
      </c>
      <c r="D107" s="51">
        <f>'Standard values'!D107</f>
        <v>0</v>
      </c>
      <c r="E107" s="51">
        <f>'Standard values'!E107</f>
        <v>0</v>
      </c>
      <c r="F107" s="51">
        <f>'Standard values'!F107</f>
        <v>0</v>
      </c>
      <c r="G107" s="51">
        <f>'Standard values'!G107</f>
        <v>0</v>
      </c>
      <c r="H107" s="52">
        <f t="shared" si="23"/>
        <v>0</v>
      </c>
      <c r="I107" s="52">
        <f t="shared" si="23"/>
        <v>0</v>
      </c>
      <c r="J107" s="53">
        <f t="shared" si="16"/>
        <v>0</v>
      </c>
      <c r="K107" s="54">
        <f t="shared" si="17"/>
        <v>0</v>
      </c>
      <c r="L107" s="55">
        <f t="shared" si="18"/>
        <v>0</v>
      </c>
      <c r="M107" s="55">
        <f t="shared" si="19"/>
        <v>0</v>
      </c>
      <c r="N107" s="55">
        <f t="shared" si="20"/>
        <v>0</v>
      </c>
      <c r="O107" s="53">
        <f t="shared" si="21"/>
        <v>0</v>
      </c>
      <c r="P107" s="54">
        <f t="shared" si="22"/>
        <v>0</v>
      </c>
      <c r="Q107" s="54">
        <f t="shared" si="15"/>
        <v>0</v>
      </c>
      <c r="R107" s="15">
        <v>1</v>
      </c>
      <c r="S107" s="17">
        <f>3.05/125</f>
        <v>0.024399999999999998</v>
      </c>
      <c r="T107" s="57">
        <f t="shared" si="13"/>
        <v>2.44</v>
      </c>
      <c r="U107" s="15">
        <v>0.25</v>
      </c>
      <c r="V107" s="58" t="s">
        <v>342</v>
      </c>
      <c r="X107" s="58"/>
      <c r="Y107" s="58"/>
      <c r="Z107" s="59"/>
      <c r="AD107" s="58"/>
      <c r="AE107" s="58"/>
      <c r="AF107" s="58"/>
    </row>
    <row r="108" spans="1:32" s="17" customFormat="1" ht="30" customHeight="1">
      <c r="A108" s="16" t="s">
        <v>116</v>
      </c>
      <c r="B108" s="51">
        <f>'Standard values'!B108</f>
        <v>0</v>
      </c>
      <c r="C108" s="51">
        <f>'Standard values'!C108</f>
        <v>0</v>
      </c>
      <c r="D108" s="51">
        <f>'Standard values'!D108</f>
        <v>0</v>
      </c>
      <c r="E108" s="51">
        <f>'Standard values'!E108</f>
        <v>0</v>
      </c>
      <c r="F108" s="51">
        <f>'Standard values'!F108</f>
        <v>0</v>
      </c>
      <c r="G108" s="51">
        <f>'Standard values'!G108</f>
        <v>0</v>
      </c>
      <c r="H108" s="52">
        <f t="shared" si="23"/>
        <v>0</v>
      </c>
      <c r="I108" s="52">
        <f t="shared" si="23"/>
        <v>0</v>
      </c>
      <c r="J108" s="53">
        <f t="shared" si="16"/>
        <v>0</v>
      </c>
      <c r="K108" s="54">
        <f t="shared" si="17"/>
        <v>0</v>
      </c>
      <c r="L108" s="55">
        <f t="shared" si="18"/>
        <v>0</v>
      </c>
      <c r="M108" s="55">
        <f t="shared" si="19"/>
        <v>0</v>
      </c>
      <c r="N108" s="55">
        <f t="shared" si="20"/>
        <v>0</v>
      </c>
      <c r="O108" s="53">
        <f t="shared" si="21"/>
        <v>0</v>
      </c>
      <c r="P108" s="54">
        <f t="shared" si="22"/>
        <v>0</v>
      </c>
      <c r="Q108" s="54">
        <f t="shared" si="15"/>
        <v>0</v>
      </c>
      <c r="R108" s="15">
        <v>60</v>
      </c>
      <c r="S108" s="17">
        <f>2.95/500</f>
        <v>0.005900000000000001</v>
      </c>
      <c r="T108" s="57">
        <f t="shared" si="13"/>
        <v>0.5900000000000001</v>
      </c>
      <c r="U108" s="17">
        <v>0</v>
      </c>
      <c r="V108" s="58" t="s">
        <v>343</v>
      </c>
      <c r="X108" s="58"/>
      <c r="Y108" s="58"/>
      <c r="Z108" s="59"/>
      <c r="AD108" s="58"/>
      <c r="AE108" s="58"/>
      <c r="AF108" s="58"/>
    </row>
    <row r="109" spans="1:32" s="17" customFormat="1" ht="30" customHeight="1">
      <c r="A109" s="16" t="s">
        <v>117</v>
      </c>
      <c r="B109" s="51">
        <f>'Standard values'!B109</f>
        <v>0</v>
      </c>
      <c r="C109" s="51">
        <f>'Standard values'!C109</f>
        <v>0</v>
      </c>
      <c r="D109" s="51">
        <f>'Standard values'!D109</f>
        <v>0</v>
      </c>
      <c r="E109" s="51">
        <f>'Standard values'!E109</f>
        <v>0</v>
      </c>
      <c r="F109" s="51">
        <f>'Standard values'!F109</f>
        <v>0</v>
      </c>
      <c r="G109" s="51">
        <f>'Standard values'!G109</f>
        <v>0</v>
      </c>
      <c r="H109" s="52">
        <f t="shared" si="23"/>
        <v>0</v>
      </c>
      <c r="I109" s="52">
        <f t="shared" si="23"/>
        <v>0</v>
      </c>
      <c r="J109" s="53">
        <f t="shared" si="16"/>
        <v>0</v>
      </c>
      <c r="K109" s="54">
        <f t="shared" si="17"/>
        <v>0</v>
      </c>
      <c r="L109" s="55">
        <f t="shared" si="18"/>
        <v>0</v>
      </c>
      <c r="M109" s="55">
        <f t="shared" si="19"/>
        <v>0</v>
      </c>
      <c r="N109" s="55">
        <f t="shared" si="20"/>
        <v>0</v>
      </c>
      <c r="O109" s="53">
        <f t="shared" si="21"/>
        <v>0</v>
      </c>
      <c r="P109" s="54">
        <f t="shared" si="22"/>
        <v>0</v>
      </c>
      <c r="Q109" s="54">
        <f t="shared" si="15"/>
        <v>0</v>
      </c>
      <c r="R109" s="17">
        <v>4</v>
      </c>
      <c r="S109" s="17">
        <f>4.58/500</f>
        <v>0.00916</v>
      </c>
      <c r="T109" s="57">
        <f t="shared" si="13"/>
        <v>0.9159999999999999</v>
      </c>
      <c r="U109" s="15">
        <v>0.6</v>
      </c>
      <c r="V109" s="58"/>
      <c r="X109" s="58"/>
      <c r="Y109" s="58"/>
      <c r="Z109" s="59"/>
      <c r="AD109" s="58"/>
      <c r="AE109" s="58"/>
      <c r="AF109" s="58"/>
    </row>
    <row r="110" spans="1:32" s="17" customFormat="1" ht="30" customHeight="1">
      <c r="A110" s="18" t="s">
        <v>118</v>
      </c>
      <c r="B110" s="51">
        <f>'Standard values'!B110</f>
        <v>0</v>
      </c>
      <c r="C110" s="51">
        <f>'Standard values'!C110</f>
        <v>0</v>
      </c>
      <c r="D110" s="51">
        <f>'Standard values'!D110</f>
        <v>0</v>
      </c>
      <c r="E110" s="51">
        <f>'Standard values'!E110</f>
        <v>0</v>
      </c>
      <c r="F110" s="51">
        <f>'Standard values'!F110</f>
        <v>0</v>
      </c>
      <c r="G110" s="51">
        <f>'Standard values'!G110</f>
        <v>0</v>
      </c>
      <c r="H110" s="52">
        <f t="shared" si="23"/>
        <v>0</v>
      </c>
      <c r="I110" s="52">
        <f t="shared" si="23"/>
        <v>0</v>
      </c>
      <c r="J110" s="53">
        <f t="shared" si="16"/>
        <v>0</v>
      </c>
      <c r="K110" s="54">
        <f t="shared" si="17"/>
        <v>0</v>
      </c>
      <c r="L110" s="55">
        <f t="shared" si="18"/>
        <v>0</v>
      </c>
      <c r="M110" s="55">
        <f t="shared" si="19"/>
        <v>0</v>
      </c>
      <c r="N110" s="55">
        <f t="shared" si="20"/>
        <v>0</v>
      </c>
      <c r="O110" s="53">
        <f t="shared" si="21"/>
        <v>0</v>
      </c>
      <c r="P110" s="54">
        <f t="shared" si="22"/>
        <v>0</v>
      </c>
      <c r="Q110" s="54">
        <f t="shared" si="15"/>
        <v>0</v>
      </c>
      <c r="R110" s="17">
        <v>10</v>
      </c>
      <c r="S110" s="17">
        <f>2.55/400</f>
        <v>0.006375</v>
      </c>
      <c r="T110" s="57">
        <f t="shared" si="13"/>
        <v>0.6375</v>
      </c>
      <c r="U110" s="17">
        <v>0.75</v>
      </c>
      <c r="V110" s="58" t="s">
        <v>346</v>
      </c>
      <c r="X110" s="58"/>
      <c r="Y110" s="58"/>
      <c r="Z110" s="59"/>
      <c r="AD110" s="58"/>
      <c r="AE110" s="58"/>
      <c r="AF110" s="58"/>
    </row>
    <row r="111" spans="1:32" s="17" customFormat="1" ht="30" customHeight="1">
      <c r="A111" s="18" t="s">
        <v>119</v>
      </c>
      <c r="B111" s="51">
        <f>'Standard values'!B111</f>
        <v>0</v>
      </c>
      <c r="C111" s="51">
        <f>'Standard values'!C111</f>
        <v>0</v>
      </c>
      <c r="D111" s="51">
        <f>'Standard values'!D111</f>
        <v>0</v>
      </c>
      <c r="E111" s="51">
        <f>'Standard values'!E111</f>
        <v>0</v>
      </c>
      <c r="F111" s="51">
        <f>'Standard values'!F111</f>
        <v>0</v>
      </c>
      <c r="G111" s="51">
        <f>'Standard values'!G111</f>
        <v>0</v>
      </c>
      <c r="H111" s="52">
        <f t="shared" si="23"/>
        <v>0</v>
      </c>
      <c r="I111" s="52">
        <f t="shared" si="23"/>
        <v>0</v>
      </c>
      <c r="J111" s="53">
        <f t="shared" si="16"/>
        <v>0</v>
      </c>
      <c r="K111" s="54">
        <f t="shared" si="17"/>
        <v>0</v>
      </c>
      <c r="L111" s="55">
        <f t="shared" si="18"/>
        <v>0</v>
      </c>
      <c r="M111" s="55">
        <f t="shared" si="19"/>
        <v>0</v>
      </c>
      <c r="N111" s="55">
        <f t="shared" si="20"/>
        <v>0</v>
      </c>
      <c r="O111" s="53">
        <f t="shared" si="21"/>
        <v>0</v>
      </c>
      <c r="P111" s="54">
        <f t="shared" si="22"/>
        <v>0</v>
      </c>
      <c r="Q111" s="54">
        <f t="shared" si="15"/>
        <v>0</v>
      </c>
      <c r="R111" s="61">
        <v>20</v>
      </c>
      <c r="S111" s="17">
        <f>8.55/1000</f>
        <v>0.00855</v>
      </c>
      <c r="T111" s="57">
        <f t="shared" si="13"/>
        <v>0.855</v>
      </c>
      <c r="U111" s="17">
        <v>0</v>
      </c>
      <c r="V111" s="58"/>
      <c r="X111" s="58"/>
      <c r="Y111" s="58"/>
      <c r="Z111" s="59"/>
      <c r="AD111" s="58"/>
      <c r="AE111" s="58"/>
      <c r="AF111" s="58"/>
    </row>
    <row r="112" spans="1:32" s="17" customFormat="1" ht="30" customHeight="1">
      <c r="A112" s="18" t="s">
        <v>120</v>
      </c>
      <c r="B112" s="51">
        <f>'Standard values'!B112</f>
        <v>0</v>
      </c>
      <c r="C112" s="51">
        <f>'Standard values'!C112</f>
        <v>0</v>
      </c>
      <c r="D112" s="51">
        <f>'Standard values'!D112</f>
        <v>0</v>
      </c>
      <c r="E112" s="51">
        <f>'Standard values'!E112</f>
        <v>0</v>
      </c>
      <c r="F112" s="51">
        <f>'Standard values'!F112</f>
        <v>0</v>
      </c>
      <c r="G112" s="51">
        <f>'Standard values'!G112</f>
        <v>0</v>
      </c>
      <c r="H112" s="52">
        <f t="shared" si="23"/>
        <v>0</v>
      </c>
      <c r="I112" s="52">
        <f t="shared" si="23"/>
        <v>0</v>
      </c>
      <c r="J112" s="53">
        <f t="shared" si="16"/>
        <v>0</v>
      </c>
      <c r="K112" s="54">
        <f t="shared" si="17"/>
        <v>0</v>
      </c>
      <c r="L112" s="55">
        <f t="shared" si="18"/>
        <v>0</v>
      </c>
      <c r="M112" s="55">
        <f t="shared" si="19"/>
        <v>0</v>
      </c>
      <c r="N112" s="55">
        <f t="shared" si="20"/>
        <v>0</v>
      </c>
      <c r="O112" s="53">
        <f t="shared" si="21"/>
        <v>0</v>
      </c>
      <c r="P112" s="54">
        <f t="shared" si="22"/>
        <v>0</v>
      </c>
      <c r="Q112" s="54">
        <f t="shared" si="15"/>
        <v>0</v>
      </c>
      <c r="R112" s="17">
        <v>1</v>
      </c>
      <c r="S112" s="17">
        <v>0.01100107585671705</v>
      </c>
      <c r="T112" s="57">
        <f t="shared" si="13"/>
        <v>1.100107585671705</v>
      </c>
      <c r="U112" s="17">
        <v>0.5</v>
      </c>
      <c r="V112" s="58"/>
      <c r="X112" s="58"/>
      <c r="Y112" s="58"/>
      <c r="Z112" s="59"/>
      <c r="AD112" s="58"/>
      <c r="AE112" s="58"/>
      <c r="AF112" s="58"/>
    </row>
    <row r="113" spans="1:32" s="17" customFormat="1" ht="30" customHeight="1">
      <c r="A113" s="16" t="s">
        <v>121</v>
      </c>
      <c r="B113" s="51">
        <f>'Standard values'!B113</f>
        <v>0</v>
      </c>
      <c r="C113" s="51">
        <f>'Standard values'!C113</f>
        <v>0</v>
      </c>
      <c r="D113" s="51">
        <f>'Standard values'!D113</f>
        <v>0</v>
      </c>
      <c r="E113" s="51">
        <f>'Standard values'!E113</f>
        <v>0</v>
      </c>
      <c r="F113" s="51">
        <f>'Standard values'!F113</f>
        <v>0</v>
      </c>
      <c r="G113" s="51">
        <f>'Standard values'!G113</f>
        <v>0</v>
      </c>
      <c r="H113" s="52">
        <f t="shared" si="23"/>
        <v>0</v>
      </c>
      <c r="I113" s="52">
        <f t="shared" si="23"/>
        <v>0</v>
      </c>
      <c r="J113" s="53">
        <f t="shared" si="16"/>
        <v>0</v>
      </c>
      <c r="K113" s="54">
        <f t="shared" si="17"/>
        <v>0</v>
      </c>
      <c r="L113" s="55">
        <f t="shared" si="18"/>
        <v>0</v>
      </c>
      <c r="M113" s="55">
        <f t="shared" si="19"/>
        <v>0</v>
      </c>
      <c r="N113" s="55">
        <f t="shared" si="20"/>
        <v>0</v>
      </c>
      <c r="O113" s="53">
        <f t="shared" si="21"/>
        <v>0</v>
      </c>
      <c r="P113" s="54">
        <f t="shared" si="22"/>
        <v>0</v>
      </c>
      <c r="Q113" s="54">
        <f t="shared" si="15"/>
        <v>0</v>
      </c>
      <c r="R113" s="15">
        <v>200</v>
      </c>
      <c r="S113" s="17">
        <f>(2.9/2)/200</f>
        <v>0.0072499999999999995</v>
      </c>
      <c r="T113" s="57">
        <f t="shared" si="13"/>
        <v>0.725</v>
      </c>
      <c r="U113" s="15">
        <v>1</v>
      </c>
      <c r="V113" s="58" t="s">
        <v>349</v>
      </c>
      <c r="X113" s="58"/>
      <c r="Y113" s="58"/>
      <c r="Z113" s="59"/>
      <c r="AD113" s="58"/>
      <c r="AE113" s="58"/>
      <c r="AF113" s="58"/>
    </row>
    <row r="114" spans="1:32" s="17" customFormat="1" ht="30" customHeight="1">
      <c r="A114" s="16" t="s">
        <v>122</v>
      </c>
      <c r="B114" s="51">
        <f>'Standard values'!B114</f>
        <v>0</v>
      </c>
      <c r="C114" s="51">
        <f>'Standard values'!C114</f>
        <v>0</v>
      </c>
      <c r="D114" s="51">
        <f>'Standard values'!D114</f>
        <v>0</v>
      </c>
      <c r="E114" s="51">
        <f>'Standard values'!E114</f>
        <v>0</v>
      </c>
      <c r="F114" s="51">
        <f>'Standard values'!F114</f>
        <v>0</v>
      </c>
      <c r="G114" s="51">
        <f>'Standard values'!G114</f>
        <v>0</v>
      </c>
      <c r="H114" s="52">
        <f t="shared" si="23"/>
        <v>0</v>
      </c>
      <c r="I114" s="52">
        <f t="shared" si="23"/>
        <v>0</v>
      </c>
      <c r="J114" s="53">
        <f t="shared" si="16"/>
        <v>0</v>
      </c>
      <c r="K114" s="54">
        <f t="shared" si="17"/>
        <v>0</v>
      </c>
      <c r="L114" s="55">
        <f t="shared" si="18"/>
        <v>0</v>
      </c>
      <c r="M114" s="55">
        <f t="shared" si="19"/>
        <v>0</v>
      </c>
      <c r="N114" s="55">
        <f t="shared" si="20"/>
        <v>0</v>
      </c>
      <c r="O114" s="53">
        <f t="shared" si="21"/>
        <v>0</v>
      </c>
      <c r="P114" s="54">
        <f t="shared" si="22"/>
        <v>0</v>
      </c>
      <c r="Q114" s="54">
        <f t="shared" si="15"/>
        <v>0</v>
      </c>
      <c r="R114" s="15">
        <v>400</v>
      </c>
      <c r="S114" s="17">
        <f>15.25/7000</f>
        <v>0.0021785714285714286</v>
      </c>
      <c r="T114" s="57">
        <f t="shared" si="13"/>
        <v>0.21785714285714286</v>
      </c>
      <c r="U114" s="15">
        <v>1</v>
      </c>
      <c r="V114" s="58" t="s">
        <v>351</v>
      </c>
      <c r="X114" s="58"/>
      <c r="Y114" s="58"/>
      <c r="Z114" s="59"/>
      <c r="AD114" s="58"/>
      <c r="AE114" s="58"/>
      <c r="AF114" s="58"/>
    </row>
    <row r="115" spans="1:32" s="17" customFormat="1" ht="30" customHeight="1">
      <c r="A115" s="16" t="s">
        <v>123</v>
      </c>
      <c r="B115" s="51">
        <f>'Standard values'!B115</f>
        <v>0</v>
      </c>
      <c r="C115" s="51">
        <f>'Standard values'!C115</f>
        <v>0</v>
      </c>
      <c r="D115" s="51">
        <f>'Standard values'!D115</f>
        <v>0</v>
      </c>
      <c r="E115" s="51">
        <f>'Standard values'!E115</f>
        <v>0</v>
      </c>
      <c r="F115" s="51">
        <f>'Standard values'!F115</f>
        <v>0</v>
      </c>
      <c r="G115" s="51">
        <f>'Standard values'!G115</f>
        <v>0</v>
      </c>
      <c r="H115" s="52">
        <f t="shared" si="23"/>
        <v>0</v>
      </c>
      <c r="I115" s="52">
        <f t="shared" si="23"/>
        <v>0</v>
      </c>
      <c r="J115" s="53">
        <f t="shared" si="16"/>
        <v>0</v>
      </c>
      <c r="K115" s="54">
        <f t="shared" si="17"/>
        <v>0</v>
      </c>
      <c r="L115" s="55">
        <f t="shared" si="18"/>
        <v>0</v>
      </c>
      <c r="M115" s="55">
        <f t="shared" si="19"/>
        <v>0</v>
      </c>
      <c r="N115" s="55">
        <f t="shared" si="20"/>
        <v>0</v>
      </c>
      <c r="O115" s="53">
        <f t="shared" si="21"/>
        <v>0</v>
      </c>
      <c r="P115" s="54">
        <f t="shared" si="22"/>
        <v>0</v>
      </c>
      <c r="Q115" s="54">
        <f t="shared" si="15"/>
        <v>0</v>
      </c>
      <c r="R115" s="61">
        <v>10</v>
      </c>
      <c r="S115" s="17">
        <f>12.45/1000</f>
        <v>0.01245</v>
      </c>
      <c r="T115" s="57">
        <f t="shared" si="13"/>
        <v>1.2449999999999999</v>
      </c>
      <c r="U115" s="15">
        <v>0.4</v>
      </c>
      <c r="V115" s="58" t="s">
        <v>353</v>
      </c>
      <c r="X115" s="58"/>
      <c r="Y115" s="58"/>
      <c r="Z115" s="59"/>
      <c r="AD115" s="58"/>
      <c r="AE115" s="58"/>
      <c r="AF115" s="58"/>
    </row>
    <row r="116" spans="1:32" s="17" customFormat="1" ht="30" customHeight="1">
      <c r="A116" s="18" t="s">
        <v>124</v>
      </c>
      <c r="B116" s="51">
        <f>'Standard values'!B116</f>
        <v>0</v>
      </c>
      <c r="C116" s="51">
        <f>'Standard values'!C116</f>
        <v>0</v>
      </c>
      <c r="D116" s="51">
        <f>'Standard values'!D116</f>
        <v>0</v>
      </c>
      <c r="E116" s="51">
        <f>'Standard values'!E116</f>
        <v>0</v>
      </c>
      <c r="F116" s="51">
        <f>'Standard values'!F116</f>
        <v>0</v>
      </c>
      <c r="G116" s="51">
        <f>'Standard values'!G116</f>
        <v>0</v>
      </c>
      <c r="H116" s="52">
        <f t="shared" si="23"/>
        <v>0</v>
      </c>
      <c r="I116" s="52">
        <f t="shared" si="23"/>
        <v>0</v>
      </c>
      <c r="J116" s="53">
        <f t="shared" si="16"/>
        <v>0</v>
      </c>
      <c r="K116" s="54">
        <f t="shared" si="17"/>
        <v>0</v>
      </c>
      <c r="L116" s="55">
        <f t="shared" si="18"/>
        <v>0</v>
      </c>
      <c r="M116" s="55">
        <f t="shared" si="19"/>
        <v>0</v>
      </c>
      <c r="N116" s="55">
        <f t="shared" si="20"/>
        <v>0</v>
      </c>
      <c r="O116" s="53">
        <f t="shared" si="21"/>
        <v>0</v>
      </c>
      <c r="P116" s="54">
        <f t="shared" si="22"/>
        <v>0</v>
      </c>
      <c r="Q116" s="54">
        <f t="shared" si="15"/>
        <v>0</v>
      </c>
      <c r="R116" s="15">
        <v>500</v>
      </c>
      <c r="S116" s="17">
        <f>2.35/500</f>
        <v>0.0047</v>
      </c>
      <c r="T116" s="57">
        <f t="shared" si="13"/>
        <v>0.47000000000000003</v>
      </c>
      <c r="U116" s="17">
        <v>0</v>
      </c>
      <c r="V116" s="58" t="s">
        <v>355</v>
      </c>
      <c r="X116" s="58"/>
      <c r="Y116" s="58"/>
      <c r="Z116" s="59"/>
      <c r="AD116" s="58"/>
      <c r="AE116" s="58"/>
      <c r="AF116" s="58"/>
    </row>
    <row r="117" spans="1:32" s="17" customFormat="1" ht="30" customHeight="1">
      <c r="A117" s="16" t="s">
        <v>125</v>
      </c>
      <c r="B117" s="51">
        <f>'Standard values'!B117</f>
        <v>0</v>
      </c>
      <c r="C117" s="51">
        <f>'Standard values'!C117</f>
        <v>0</v>
      </c>
      <c r="D117" s="51">
        <f>'Standard values'!D117</f>
        <v>0</v>
      </c>
      <c r="E117" s="51">
        <f>'Standard values'!E117</f>
        <v>0</v>
      </c>
      <c r="F117" s="51">
        <f>'Standard values'!F117</f>
        <v>0</v>
      </c>
      <c r="G117" s="51">
        <f>'Standard values'!G117</f>
        <v>0</v>
      </c>
      <c r="H117" s="52">
        <f t="shared" si="23"/>
        <v>0</v>
      </c>
      <c r="I117" s="52">
        <f t="shared" si="23"/>
        <v>0</v>
      </c>
      <c r="J117" s="53">
        <f t="shared" si="16"/>
        <v>0</v>
      </c>
      <c r="K117" s="54">
        <f t="shared" si="17"/>
        <v>0</v>
      </c>
      <c r="L117" s="55">
        <f t="shared" si="18"/>
        <v>0</v>
      </c>
      <c r="M117" s="55">
        <f t="shared" si="19"/>
        <v>0</v>
      </c>
      <c r="N117" s="55">
        <f t="shared" si="20"/>
        <v>0</v>
      </c>
      <c r="O117" s="53">
        <f t="shared" si="21"/>
        <v>0</v>
      </c>
      <c r="P117" s="54">
        <f t="shared" si="22"/>
        <v>0</v>
      </c>
      <c r="Q117" s="54">
        <f t="shared" si="15"/>
        <v>0</v>
      </c>
      <c r="R117" s="15">
        <v>14</v>
      </c>
      <c r="S117" s="17">
        <f>(2.05/4)/14</f>
        <v>0.03660714285714285</v>
      </c>
      <c r="T117" s="57">
        <f t="shared" si="13"/>
        <v>3.660714285714285</v>
      </c>
      <c r="U117" s="15"/>
      <c r="V117" s="58" t="s">
        <v>359</v>
      </c>
      <c r="X117" s="58"/>
      <c r="Y117" s="58"/>
      <c r="Z117" s="59"/>
      <c r="AD117" s="58"/>
      <c r="AE117" s="58"/>
      <c r="AF117" s="58"/>
    </row>
    <row r="118" spans="1:32" s="17" customFormat="1" ht="30" customHeight="1">
      <c r="A118" s="16" t="s">
        <v>126</v>
      </c>
      <c r="B118" s="51">
        <f>'Standard values'!B118</f>
        <v>0</v>
      </c>
      <c r="C118" s="51">
        <f>'Standard values'!C118</f>
        <v>0</v>
      </c>
      <c r="D118" s="51">
        <f>'Standard values'!D118</f>
        <v>0</v>
      </c>
      <c r="E118" s="51">
        <f>'Standard values'!E118</f>
        <v>0</v>
      </c>
      <c r="F118" s="51">
        <f>'Standard values'!F118</f>
        <v>0</v>
      </c>
      <c r="G118" s="51">
        <f>'Standard values'!G118</f>
        <v>0</v>
      </c>
      <c r="H118" s="52">
        <f t="shared" si="23"/>
        <v>0</v>
      </c>
      <c r="I118" s="52">
        <f t="shared" si="23"/>
        <v>0</v>
      </c>
      <c r="J118" s="53">
        <f t="shared" si="16"/>
        <v>0</v>
      </c>
      <c r="K118" s="54">
        <f t="shared" si="17"/>
        <v>0</v>
      </c>
      <c r="L118" s="55">
        <f t="shared" si="18"/>
        <v>0</v>
      </c>
      <c r="M118" s="55">
        <f t="shared" si="19"/>
        <v>0</v>
      </c>
      <c r="N118" s="55">
        <f t="shared" si="20"/>
        <v>0</v>
      </c>
      <c r="O118" s="53">
        <f t="shared" si="21"/>
        <v>0</v>
      </c>
      <c r="P118" s="54">
        <f t="shared" si="22"/>
        <v>0</v>
      </c>
      <c r="Q118" s="54">
        <f t="shared" si="15"/>
        <v>0</v>
      </c>
      <c r="R118" s="15">
        <v>180</v>
      </c>
      <c r="S118" s="17">
        <f>3.15/100</f>
        <v>0.0315</v>
      </c>
      <c r="T118" s="57">
        <f t="shared" si="13"/>
        <v>3.15</v>
      </c>
      <c r="U118" s="15">
        <v>0</v>
      </c>
      <c r="V118" s="58" t="s">
        <v>358</v>
      </c>
      <c r="X118" s="58"/>
      <c r="Y118" s="58"/>
      <c r="Z118" s="59"/>
      <c r="AD118" s="58"/>
      <c r="AE118" s="58"/>
      <c r="AF118" s="58"/>
    </row>
    <row r="119" spans="1:32" s="17" customFormat="1" ht="30" customHeight="1">
      <c r="A119" s="16" t="s">
        <v>127</v>
      </c>
      <c r="B119" s="51">
        <f>'Standard values'!B119</f>
        <v>0</v>
      </c>
      <c r="C119" s="51">
        <f>'Standard values'!C119</f>
        <v>0</v>
      </c>
      <c r="D119" s="51">
        <f>'Standard values'!D119</f>
        <v>0</v>
      </c>
      <c r="E119" s="51">
        <f>'Standard values'!E119</f>
        <v>0</v>
      </c>
      <c r="F119" s="51">
        <f>'Standard values'!F119</f>
        <v>0</v>
      </c>
      <c r="G119" s="51">
        <f>'Standard values'!G119</f>
        <v>0</v>
      </c>
      <c r="H119" s="52">
        <f t="shared" si="23"/>
        <v>0</v>
      </c>
      <c r="I119" s="52">
        <f t="shared" si="23"/>
        <v>0</v>
      </c>
      <c r="J119" s="53">
        <f t="shared" si="16"/>
        <v>0</v>
      </c>
      <c r="K119" s="54">
        <f t="shared" si="17"/>
        <v>0</v>
      </c>
      <c r="L119" s="55">
        <f t="shared" si="18"/>
        <v>0</v>
      </c>
      <c r="M119" s="55">
        <f t="shared" si="19"/>
        <v>0</v>
      </c>
      <c r="N119" s="55">
        <f t="shared" si="20"/>
        <v>0</v>
      </c>
      <c r="O119" s="53">
        <f t="shared" si="21"/>
        <v>0</v>
      </c>
      <c r="P119" s="54">
        <f t="shared" si="22"/>
        <v>0</v>
      </c>
      <c r="Q119" s="54">
        <f t="shared" si="15"/>
        <v>0</v>
      </c>
      <c r="R119" s="17">
        <v>5</v>
      </c>
      <c r="S119" s="17">
        <f>12.5/1000</f>
        <v>0.0125</v>
      </c>
      <c r="T119" s="57">
        <f t="shared" si="13"/>
        <v>1.25</v>
      </c>
      <c r="U119" s="15">
        <v>0.5</v>
      </c>
      <c r="V119" s="58" t="s">
        <v>360</v>
      </c>
      <c r="X119" s="58"/>
      <c r="Y119" s="58"/>
      <c r="Z119" s="59"/>
      <c r="AD119" s="58"/>
      <c r="AE119" s="58"/>
      <c r="AF119" s="58"/>
    </row>
    <row r="120" spans="1:32" s="17" customFormat="1" ht="30" customHeight="1">
      <c r="A120" s="16" t="s">
        <v>128</v>
      </c>
      <c r="B120" s="51">
        <f>'Standard values'!B120</f>
        <v>0</v>
      </c>
      <c r="C120" s="51">
        <f>'Standard values'!C120</f>
        <v>0</v>
      </c>
      <c r="D120" s="51">
        <f>'Standard values'!D120</f>
        <v>0</v>
      </c>
      <c r="E120" s="51">
        <f>'Standard values'!E120</f>
        <v>0</v>
      </c>
      <c r="F120" s="51">
        <f>'Standard values'!F120</f>
        <v>0</v>
      </c>
      <c r="G120" s="51">
        <f>'Standard values'!G120</f>
        <v>0</v>
      </c>
      <c r="H120" s="52">
        <f aca="true" t="shared" si="24" ref="H120:I123">P120</f>
        <v>0</v>
      </c>
      <c r="I120" s="52">
        <f t="shared" si="24"/>
        <v>0</v>
      </c>
      <c r="J120" s="53">
        <f t="shared" si="16"/>
        <v>0</v>
      </c>
      <c r="K120" s="54">
        <f t="shared" si="17"/>
        <v>0</v>
      </c>
      <c r="L120" s="55">
        <f t="shared" si="18"/>
        <v>0</v>
      </c>
      <c r="M120" s="55">
        <f t="shared" si="19"/>
        <v>0</v>
      </c>
      <c r="N120" s="55">
        <f t="shared" si="20"/>
        <v>0</v>
      </c>
      <c r="O120" s="53">
        <f t="shared" si="21"/>
        <v>0</v>
      </c>
      <c r="P120" s="54">
        <f t="shared" si="22"/>
        <v>0</v>
      </c>
      <c r="Q120" s="54">
        <f t="shared" si="15"/>
        <v>0</v>
      </c>
      <c r="R120" s="17">
        <v>25</v>
      </c>
      <c r="S120" s="17">
        <f>10/1000</f>
        <v>0.01</v>
      </c>
      <c r="T120" s="57">
        <f t="shared" si="13"/>
        <v>1</v>
      </c>
      <c r="U120" s="15">
        <v>0.5</v>
      </c>
      <c r="V120" s="58" t="s">
        <v>361</v>
      </c>
      <c r="X120" s="58"/>
      <c r="Y120" s="58"/>
      <c r="Z120" s="59"/>
      <c r="AD120" s="58"/>
      <c r="AE120" s="58"/>
      <c r="AF120" s="58"/>
    </row>
    <row r="121" spans="1:32" s="17" customFormat="1" ht="30" customHeight="1">
      <c r="A121" s="18" t="s">
        <v>129</v>
      </c>
      <c r="B121" s="51">
        <f>'Standard values'!B121</f>
        <v>0</v>
      </c>
      <c r="C121" s="51">
        <f>'Standard values'!C121</f>
        <v>0</v>
      </c>
      <c r="D121" s="51">
        <f>'Standard values'!D121</f>
        <v>0</v>
      </c>
      <c r="E121" s="51">
        <f>'Standard values'!E121</f>
        <v>0</v>
      </c>
      <c r="F121" s="51">
        <f>'Standard values'!F121</f>
        <v>0</v>
      </c>
      <c r="G121" s="51">
        <f>'Standard values'!G121</f>
        <v>0</v>
      </c>
      <c r="H121" s="52">
        <f t="shared" si="24"/>
        <v>0</v>
      </c>
      <c r="I121" s="52">
        <f t="shared" si="24"/>
        <v>0</v>
      </c>
      <c r="J121" s="53">
        <f t="shared" si="16"/>
        <v>0</v>
      </c>
      <c r="K121" s="54">
        <f t="shared" si="17"/>
        <v>0</v>
      </c>
      <c r="L121" s="55">
        <f t="shared" si="18"/>
        <v>0</v>
      </c>
      <c r="M121" s="55">
        <f t="shared" si="19"/>
        <v>0</v>
      </c>
      <c r="N121" s="55">
        <f t="shared" si="20"/>
        <v>0</v>
      </c>
      <c r="O121" s="53">
        <f t="shared" si="21"/>
        <v>0</v>
      </c>
      <c r="P121" s="54">
        <f t="shared" si="22"/>
        <v>0</v>
      </c>
      <c r="Q121" s="54">
        <f t="shared" si="15"/>
        <v>0</v>
      </c>
      <c r="R121" s="17">
        <v>60</v>
      </c>
      <c r="S121" s="17">
        <f>3.15/750</f>
        <v>0.0042</v>
      </c>
      <c r="T121" s="57">
        <f t="shared" si="13"/>
        <v>0.42</v>
      </c>
      <c r="U121" s="17">
        <v>0</v>
      </c>
      <c r="V121" s="58" t="s">
        <v>364</v>
      </c>
      <c r="X121" s="58"/>
      <c r="Y121" s="58"/>
      <c r="Z121" s="59"/>
      <c r="AD121" s="58"/>
      <c r="AE121" s="58"/>
      <c r="AF121" s="58"/>
    </row>
    <row r="122" spans="1:32" s="17" customFormat="1" ht="30" customHeight="1">
      <c r="A122" s="16" t="s">
        <v>130</v>
      </c>
      <c r="B122" s="51">
        <f>'Standard values'!B122</f>
        <v>0</v>
      </c>
      <c r="C122" s="51">
        <f>'Standard values'!C122</f>
        <v>0</v>
      </c>
      <c r="D122" s="51">
        <f>'Standard values'!D122</f>
        <v>0</v>
      </c>
      <c r="E122" s="51">
        <f>'Standard values'!E122</f>
        <v>0</v>
      </c>
      <c r="F122" s="51">
        <f>'Standard values'!F122</f>
        <v>0</v>
      </c>
      <c r="G122" s="51">
        <f>'Standard values'!G122</f>
        <v>0</v>
      </c>
      <c r="H122" s="52">
        <f t="shared" si="24"/>
        <v>0</v>
      </c>
      <c r="I122" s="52">
        <f t="shared" si="24"/>
        <v>0</v>
      </c>
      <c r="J122" s="53">
        <f t="shared" si="16"/>
        <v>0</v>
      </c>
      <c r="K122" s="54">
        <f t="shared" si="17"/>
        <v>0</v>
      </c>
      <c r="L122" s="55">
        <f t="shared" si="18"/>
        <v>0</v>
      </c>
      <c r="M122" s="55">
        <f t="shared" si="19"/>
        <v>0</v>
      </c>
      <c r="N122" s="55">
        <f t="shared" si="20"/>
        <v>0</v>
      </c>
      <c r="O122" s="53">
        <f t="shared" si="21"/>
        <v>0</v>
      </c>
      <c r="P122" s="54">
        <f t="shared" si="22"/>
        <v>0</v>
      </c>
      <c r="Q122" s="54">
        <f t="shared" si="15"/>
        <v>0</v>
      </c>
      <c r="R122" s="15">
        <v>1</v>
      </c>
      <c r="S122" s="17">
        <f>2.47/100</f>
        <v>0.024700000000000003</v>
      </c>
      <c r="T122" s="57">
        <f t="shared" si="13"/>
        <v>2.47</v>
      </c>
      <c r="U122" s="15">
        <v>0</v>
      </c>
      <c r="V122" s="58" t="s">
        <v>365</v>
      </c>
      <c r="X122" s="58"/>
      <c r="Y122" s="58"/>
      <c r="Z122" s="59"/>
      <c r="AD122" s="58"/>
      <c r="AE122" s="58"/>
      <c r="AF122" s="58"/>
    </row>
    <row r="123" spans="1:32" s="17" customFormat="1" ht="30" customHeight="1">
      <c r="A123" s="16" t="s">
        <v>131</v>
      </c>
      <c r="B123" s="51">
        <f>'Standard values'!B123</f>
        <v>0</v>
      </c>
      <c r="C123" s="51">
        <f>'Standard values'!C123</f>
        <v>0</v>
      </c>
      <c r="D123" s="51">
        <f>'Standard values'!D123</f>
        <v>0</v>
      </c>
      <c r="E123" s="51">
        <f>'Standard values'!E123</f>
        <v>0</v>
      </c>
      <c r="F123" s="51">
        <f>'Standard values'!F123</f>
        <v>0</v>
      </c>
      <c r="G123" s="51">
        <f>'Standard values'!G123</f>
        <v>0</v>
      </c>
      <c r="H123" s="52">
        <f t="shared" si="24"/>
        <v>0</v>
      </c>
      <c r="I123" s="52">
        <f t="shared" si="24"/>
        <v>0</v>
      </c>
      <c r="J123" s="53">
        <f t="shared" si="16"/>
        <v>0</v>
      </c>
      <c r="K123" s="54">
        <f t="shared" si="17"/>
        <v>0</v>
      </c>
      <c r="L123" s="55">
        <f t="shared" si="18"/>
        <v>0</v>
      </c>
      <c r="M123" s="55">
        <f t="shared" si="19"/>
        <v>0</v>
      </c>
      <c r="N123" s="55">
        <f t="shared" si="20"/>
        <v>0</v>
      </c>
      <c r="O123" s="53">
        <f t="shared" si="21"/>
        <v>0</v>
      </c>
      <c r="P123" s="54">
        <f t="shared" si="22"/>
        <v>0</v>
      </c>
      <c r="Q123" s="54">
        <f t="shared" si="15"/>
        <v>0</v>
      </c>
      <c r="R123" s="15">
        <v>1</v>
      </c>
      <c r="S123" s="17">
        <f>3.05/125</f>
        <v>0.024399999999999998</v>
      </c>
      <c r="T123" s="57">
        <f t="shared" si="13"/>
        <v>2.44</v>
      </c>
      <c r="U123" s="15">
        <v>0.25</v>
      </c>
      <c r="V123" s="58" t="s">
        <v>342</v>
      </c>
      <c r="X123" s="58"/>
      <c r="Y123" s="58"/>
      <c r="Z123" s="59"/>
      <c r="AD123" s="58"/>
      <c r="AE123" s="58"/>
      <c r="AF123" s="58"/>
    </row>
    <row r="124" spans="1:32" ht="15.75">
      <c r="A124" s="5"/>
      <c r="B124" s="3"/>
      <c r="C124" s="3"/>
      <c r="D124" s="3"/>
      <c r="E124" s="19"/>
      <c r="F124" s="19"/>
      <c r="G124" s="19"/>
      <c r="H124" s="3"/>
      <c r="I124" s="3"/>
      <c r="J124" s="3"/>
      <c r="K124" s="3"/>
      <c r="L124" s="19"/>
      <c r="M124" s="19"/>
      <c r="N124" s="19"/>
      <c r="O124" s="3"/>
      <c r="P124" s="3"/>
      <c r="Q124" s="3"/>
      <c r="R124" s="3"/>
      <c r="T124" s="3"/>
      <c r="U124" s="3"/>
      <c r="V124" s="3"/>
      <c r="W124" s="3"/>
      <c r="X124" s="3"/>
      <c r="Y124" s="3"/>
      <c r="Z124" s="50"/>
      <c r="AD124" s="3"/>
      <c r="AE124" s="3"/>
      <c r="AF124" s="3"/>
    </row>
    <row r="125" spans="1:32" ht="15.75">
      <c r="A125" s="5"/>
      <c r="B125" s="3"/>
      <c r="C125" s="3"/>
      <c r="D125" s="3"/>
      <c r="E125" s="19"/>
      <c r="F125" s="19"/>
      <c r="G125" s="19"/>
      <c r="H125" s="3"/>
      <c r="I125" s="3"/>
      <c r="J125" s="3"/>
      <c r="K125" s="3"/>
      <c r="L125" s="19"/>
      <c r="M125" s="19"/>
      <c r="N125" s="19"/>
      <c r="O125" s="3"/>
      <c r="P125" s="3"/>
      <c r="Q125" s="3"/>
      <c r="R125" s="3"/>
      <c r="T125" s="3"/>
      <c r="U125" s="3"/>
      <c r="V125" s="3"/>
      <c r="W125" s="3"/>
      <c r="X125" s="3"/>
      <c r="Y125" s="3"/>
      <c r="Z125" s="50"/>
      <c r="AD125" s="3"/>
      <c r="AE125" s="3"/>
      <c r="AF125" s="3"/>
    </row>
    <row r="126" spans="1:32" ht="15.75">
      <c r="A126" s="5"/>
      <c r="B126" s="3"/>
      <c r="C126" s="3"/>
      <c r="D126" s="3"/>
      <c r="E126" s="19"/>
      <c r="F126" s="19"/>
      <c r="G126" s="19"/>
      <c r="H126" s="3"/>
      <c r="I126" s="3"/>
      <c r="J126" s="3"/>
      <c r="K126" s="3"/>
      <c r="L126" s="19"/>
      <c r="M126" s="19"/>
      <c r="N126" s="19"/>
      <c r="O126" s="3"/>
      <c r="P126" s="3"/>
      <c r="Q126" s="3"/>
      <c r="R126" s="3"/>
      <c r="T126" s="3"/>
      <c r="U126" s="3"/>
      <c r="V126" s="3"/>
      <c r="W126" s="3"/>
      <c r="X126" s="3"/>
      <c r="Y126" s="3"/>
      <c r="Z126" s="50"/>
      <c r="AD126" s="3"/>
      <c r="AE126" s="3"/>
      <c r="AF126" s="3"/>
    </row>
    <row r="127" spans="1:32" ht="15.75">
      <c r="A127" s="5"/>
      <c r="B127" s="3"/>
      <c r="C127" s="3"/>
      <c r="D127" s="3"/>
      <c r="E127" s="19"/>
      <c r="F127" s="19"/>
      <c r="G127" s="19"/>
      <c r="H127" s="3"/>
      <c r="I127" s="3"/>
      <c r="J127" s="3"/>
      <c r="K127" s="3"/>
      <c r="L127" s="19"/>
      <c r="M127" s="19"/>
      <c r="N127" s="19"/>
      <c r="O127" s="3"/>
      <c r="P127" s="3"/>
      <c r="Q127" s="3"/>
      <c r="R127" s="3"/>
      <c r="T127" s="3"/>
      <c r="U127" s="3"/>
      <c r="V127" s="3"/>
      <c r="W127" s="3"/>
      <c r="X127" s="3"/>
      <c r="Y127" s="3"/>
      <c r="Z127" s="50"/>
      <c r="AD127" s="3"/>
      <c r="AE127" s="3"/>
      <c r="AF127" s="3"/>
    </row>
    <row r="128" spans="1:32" ht="15.75">
      <c r="A128" s="5"/>
      <c r="B128" s="3"/>
      <c r="C128" s="3"/>
      <c r="D128" s="3"/>
      <c r="E128" s="19"/>
      <c r="F128" s="19"/>
      <c r="G128" s="19"/>
      <c r="H128" s="3"/>
      <c r="I128" s="3"/>
      <c r="J128" s="3"/>
      <c r="K128" s="3"/>
      <c r="L128" s="19"/>
      <c r="M128" s="19"/>
      <c r="N128" s="19"/>
      <c r="O128" s="3"/>
      <c r="P128" s="3"/>
      <c r="Q128" s="3"/>
      <c r="R128" s="3"/>
      <c r="T128" s="3"/>
      <c r="U128" s="3"/>
      <c r="V128" s="3"/>
      <c r="W128" s="3"/>
      <c r="X128" s="3"/>
      <c r="Y128" s="3"/>
      <c r="Z128" s="50"/>
      <c r="AD128" s="3"/>
      <c r="AE128" s="3"/>
      <c r="AF128" s="3"/>
    </row>
    <row r="129" spans="1:32" ht="15.75">
      <c r="A129" s="5"/>
      <c r="B129" s="3"/>
      <c r="C129" s="3"/>
      <c r="D129" s="3"/>
      <c r="E129" s="19"/>
      <c r="F129" s="19"/>
      <c r="G129" s="19"/>
      <c r="H129" s="3"/>
      <c r="I129" s="3"/>
      <c r="J129" s="3"/>
      <c r="K129" s="3"/>
      <c r="L129" s="19"/>
      <c r="M129" s="19"/>
      <c r="N129" s="19"/>
      <c r="O129" s="3"/>
      <c r="P129" s="3"/>
      <c r="Q129" s="3"/>
      <c r="R129" s="3"/>
      <c r="T129" s="3"/>
      <c r="U129" s="3"/>
      <c r="V129" s="3"/>
      <c r="W129" s="3"/>
      <c r="X129" s="3"/>
      <c r="Y129" s="3"/>
      <c r="Z129" s="50"/>
      <c r="AD129" s="3"/>
      <c r="AE129" s="3"/>
      <c r="AF129" s="3"/>
    </row>
    <row r="130" spans="1:32" ht="15.75">
      <c r="A130" s="5"/>
      <c r="B130" s="3"/>
      <c r="C130" s="3"/>
      <c r="D130" s="3"/>
      <c r="E130" s="19"/>
      <c r="F130" s="19"/>
      <c r="G130" s="19"/>
      <c r="H130" s="3"/>
      <c r="I130" s="3"/>
      <c r="J130" s="3"/>
      <c r="K130" s="3"/>
      <c r="L130" s="19"/>
      <c r="M130" s="19"/>
      <c r="N130" s="19"/>
      <c r="O130" s="3"/>
      <c r="P130" s="3"/>
      <c r="Q130" s="3"/>
      <c r="R130" s="3"/>
      <c r="T130" s="3"/>
      <c r="U130" s="3"/>
      <c r="V130" s="3"/>
      <c r="W130" s="3"/>
      <c r="X130" s="3"/>
      <c r="Y130" s="3"/>
      <c r="Z130" s="50"/>
      <c r="AD130" s="3"/>
      <c r="AE130" s="3"/>
      <c r="AF130" s="3"/>
    </row>
    <row r="131" spans="1:32" ht="15.75">
      <c r="A131" s="5"/>
      <c r="B131" s="3"/>
      <c r="C131" s="3"/>
      <c r="D131" s="3"/>
      <c r="E131" s="19"/>
      <c r="F131" s="19"/>
      <c r="G131" s="19"/>
      <c r="H131" s="3"/>
      <c r="I131" s="3"/>
      <c r="J131" s="3"/>
      <c r="K131" s="3"/>
      <c r="L131" s="19"/>
      <c r="M131" s="19"/>
      <c r="N131" s="19"/>
      <c r="O131" s="3"/>
      <c r="P131" s="3"/>
      <c r="Q131" s="3"/>
      <c r="R131" s="3"/>
      <c r="T131" s="3"/>
      <c r="U131" s="3"/>
      <c r="V131" s="3"/>
      <c r="W131" s="3"/>
      <c r="X131" s="3"/>
      <c r="Y131" s="3"/>
      <c r="Z131" s="50"/>
      <c r="AD131" s="3"/>
      <c r="AE131" s="3"/>
      <c r="AF131" s="3"/>
    </row>
    <row r="132" spans="1:32" ht="15.75">
      <c r="A132" s="5"/>
      <c r="B132" s="3"/>
      <c r="C132" s="3"/>
      <c r="D132" s="3"/>
      <c r="E132" s="19"/>
      <c r="F132" s="19"/>
      <c r="G132" s="19"/>
      <c r="H132" s="3"/>
      <c r="I132" s="3"/>
      <c r="J132" s="3"/>
      <c r="K132" s="3"/>
      <c r="L132" s="19"/>
      <c r="M132" s="19"/>
      <c r="N132" s="19"/>
      <c r="O132" s="3"/>
      <c r="P132" s="3"/>
      <c r="Q132" s="3"/>
      <c r="R132" s="3"/>
      <c r="T132" s="3"/>
      <c r="U132" s="3"/>
      <c r="V132" s="3"/>
      <c r="W132" s="3"/>
      <c r="X132" s="3"/>
      <c r="Y132" s="3"/>
      <c r="Z132" s="50"/>
      <c r="AD132" s="3"/>
      <c r="AE132" s="3"/>
      <c r="AF132" s="3"/>
    </row>
    <row r="133" spans="1:32" ht="15.75">
      <c r="A133" s="5"/>
      <c r="B133" s="3"/>
      <c r="C133" s="3"/>
      <c r="D133" s="3"/>
      <c r="E133" s="19"/>
      <c r="F133" s="19"/>
      <c r="G133" s="19"/>
      <c r="H133" s="3"/>
      <c r="I133" s="3"/>
      <c r="J133" s="3"/>
      <c r="K133" s="3"/>
      <c r="L133" s="19"/>
      <c r="M133" s="19"/>
      <c r="N133" s="19"/>
      <c r="O133" s="3"/>
      <c r="P133" s="3"/>
      <c r="Q133" s="3"/>
      <c r="R133" s="3"/>
      <c r="T133" s="3"/>
      <c r="U133" s="3"/>
      <c r="V133" s="3"/>
      <c r="W133" s="3"/>
      <c r="X133" s="3"/>
      <c r="Y133" s="3"/>
      <c r="Z133" s="50"/>
      <c r="AD133" s="3"/>
      <c r="AE133" s="3"/>
      <c r="AF133" s="3"/>
    </row>
    <row r="134" spans="1:32" ht="15.75">
      <c r="A134" s="5"/>
      <c r="B134" s="3"/>
      <c r="C134" s="3"/>
      <c r="D134" s="3"/>
      <c r="E134" s="19"/>
      <c r="F134" s="19"/>
      <c r="G134" s="19"/>
      <c r="H134" s="3"/>
      <c r="I134" s="3"/>
      <c r="J134" s="3"/>
      <c r="K134" s="3"/>
      <c r="L134" s="19"/>
      <c r="M134" s="19"/>
      <c r="N134" s="19"/>
      <c r="O134" s="3"/>
      <c r="P134" s="3"/>
      <c r="Q134" s="3"/>
      <c r="R134" s="3"/>
      <c r="T134" s="3"/>
      <c r="U134" s="3"/>
      <c r="V134" s="3"/>
      <c r="W134" s="3"/>
      <c r="X134" s="3"/>
      <c r="Y134" s="3"/>
      <c r="Z134" s="50"/>
      <c r="AD134" s="3"/>
      <c r="AE134" s="3"/>
      <c r="AF134" s="3"/>
    </row>
    <row r="135" spans="1:32" ht="15.75">
      <c r="A135" s="5"/>
      <c r="B135" s="3"/>
      <c r="C135" s="3"/>
      <c r="D135" s="3"/>
      <c r="E135" s="19"/>
      <c r="F135" s="19"/>
      <c r="G135" s="19"/>
      <c r="H135" s="3"/>
      <c r="I135" s="3"/>
      <c r="J135" s="3"/>
      <c r="K135" s="3"/>
      <c r="L135" s="19"/>
      <c r="M135" s="19"/>
      <c r="N135" s="19"/>
      <c r="O135" s="3"/>
      <c r="P135" s="3"/>
      <c r="Q135" s="3"/>
      <c r="R135" s="3"/>
      <c r="T135" s="3"/>
      <c r="U135" s="3"/>
      <c r="V135" s="3"/>
      <c r="W135" s="3"/>
      <c r="X135" s="3"/>
      <c r="Y135" s="3"/>
      <c r="Z135" s="50"/>
      <c r="AD135" s="3"/>
      <c r="AE135" s="3"/>
      <c r="AF135" s="3"/>
    </row>
    <row r="136" spans="1:32" ht="15.75">
      <c r="A136" s="5"/>
      <c r="B136" s="3"/>
      <c r="C136" s="3"/>
      <c r="D136" s="3"/>
      <c r="E136" s="19"/>
      <c r="F136" s="19"/>
      <c r="G136" s="19"/>
      <c r="H136" s="3"/>
      <c r="I136" s="3"/>
      <c r="J136" s="3"/>
      <c r="K136" s="3"/>
      <c r="L136" s="19"/>
      <c r="M136" s="19"/>
      <c r="N136" s="19"/>
      <c r="O136" s="3"/>
      <c r="P136" s="3"/>
      <c r="Q136" s="3"/>
      <c r="R136" s="3"/>
      <c r="T136" s="3"/>
      <c r="U136" s="3"/>
      <c r="V136" s="3"/>
      <c r="W136" s="3"/>
      <c r="X136" s="3"/>
      <c r="Y136" s="3"/>
      <c r="Z136" s="50"/>
      <c r="AD136" s="3"/>
      <c r="AE136" s="3"/>
      <c r="AF136" s="3"/>
    </row>
    <row r="137" spans="1:32" ht="15.75">
      <c r="A137" s="5"/>
      <c r="B137" s="3"/>
      <c r="C137" s="3"/>
      <c r="D137" s="3"/>
      <c r="E137" s="19"/>
      <c r="F137" s="19"/>
      <c r="G137" s="19"/>
      <c r="H137" s="3"/>
      <c r="I137" s="3"/>
      <c r="J137" s="3"/>
      <c r="K137" s="3"/>
      <c r="L137" s="19"/>
      <c r="M137" s="19"/>
      <c r="N137" s="19"/>
      <c r="O137" s="3"/>
      <c r="P137" s="3"/>
      <c r="Q137" s="3"/>
      <c r="R137" s="3"/>
      <c r="T137" s="3"/>
      <c r="U137" s="3"/>
      <c r="V137" s="3"/>
      <c r="W137" s="3"/>
      <c r="X137" s="3"/>
      <c r="Y137" s="3"/>
      <c r="Z137" s="50"/>
      <c r="AD137" s="3"/>
      <c r="AE137" s="3"/>
      <c r="AF137" s="3"/>
    </row>
    <row r="138" spans="1:32" ht="15.75">
      <c r="A138" s="5"/>
      <c r="B138" s="3"/>
      <c r="C138" s="3"/>
      <c r="D138" s="3"/>
      <c r="E138" s="19"/>
      <c r="F138" s="19"/>
      <c r="G138" s="19"/>
      <c r="H138" s="3"/>
      <c r="I138" s="3"/>
      <c r="J138" s="3"/>
      <c r="K138" s="3"/>
      <c r="L138" s="19"/>
      <c r="M138" s="19"/>
      <c r="N138" s="19"/>
      <c r="O138" s="3"/>
      <c r="P138" s="3"/>
      <c r="Q138" s="3"/>
      <c r="R138" s="3"/>
      <c r="T138" s="3"/>
      <c r="U138" s="3"/>
      <c r="V138" s="3"/>
      <c r="W138" s="3"/>
      <c r="X138" s="3"/>
      <c r="Y138" s="3"/>
      <c r="Z138" s="50"/>
      <c r="AD138" s="3"/>
      <c r="AE138" s="3"/>
      <c r="AF138" s="3"/>
    </row>
    <row r="139" spans="1:32" ht="15.75">
      <c r="A139" s="5"/>
      <c r="B139" s="3"/>
      <c r="C139" s="3"/>
      <c r="D139" s="3"/>
      <c r="E139" s="19"/>
      <c r="F139" s="19"/>
      <c r="G139" s="19"/>
      <c r="H139" s="3"/>
      <c r="I139" s="3"/>
      <c r="J139" s="3"/>
      <c r="K139" s="3"/>
      <c r="L139" s="19"/>
      <c r="M139" s="19"/>
      <c r="N139" s="19"/>
      <c r="O139" s="3"/>
      <c r="P139" s="3"/>
      <c r="Q139" s="3"/>
      <c r="R139" s="3"/>
      <c r="T139" s="3"/>
      <c r="U139" s="3"/>
      <c r="V139" s="3"/>
      <c r="W139" s="3"/>
      <c r="X139" s="3"/>
      <c r="Y139" s="3"/>
      <c r="Z139" s="50"/>
      <c r="AD139" s="3"/>
      <c r="AE139" s="3"/>
      <c r="AF139" s="3"/>
    </row>
    <row r="140" spans="1:32" ht="15.75">
      <c r="A140" s="5"/>
      <c r="B140" s="3"/>
      <c r="C140" s="3"/>
      <c r="D140" s="3"/>
      <c r="E140" s="19"/>
      <c r="F140" s="19"/>
      <c r="G140" s="19"/>
      <c r="H140" s="3"/>
      <c r="I140" s="3"/>
      <c r="J140" s="3"/>
      <c r="K140" s="3"/>
      <c r="L140" s="19"/>
      <c r="M140" s="19"/>
      <c r="N140" s="19"/>
      <c r="O140" s="3"/>
      <c r="P140" s="3"/>
      <c r="Q140" s="3"/>
      <c r="R140" s="3"/>
      <c r="T140" s="3"/>
      <c r="U140" s="3"/>
      <c r="V140" s="3"/>
      <c r="W140" s="3"/>
      <c r="X140" s="3"/>
      <c r="Y140" s="3"/>
      <c r="Z140" s="50"/>
      <c r="AD140" s="3"/>
      <c r="AE140" s="3"/>
      <c r="AF140" s="3"/>
    </row>
    <row r="141" spans="1:32" ht="15.75">
      <c r="A141" s="5"/>
      <c r="B141" s="3"/>
      <c r="C141" s="3"/>
      <c r="D141" s="3"/>
      <c r="E141" s="19"/>
      <c r="F141" s="19"/>
      <c r="G141" s="19"/>
      <c r="H141" s="3"/>
      <c r="I141" s="3"/>
      <c r="J141" s="3"/>
      <c r="K141" s="3"/>
      <c r="L141" s="19"/>
      <c r="M141" s="19"/>
      <c r="N141" s="19"/>
      <c r="O141" s="3"/>
      <c r="P141" s="3"/>
      <c r="Q141" s="3"/>
      <c r="R141" s="3"/>
      <c r="T141" s="3"/>
      <c r="U141" s="3"/>
      <c r="V141" s="3"/>
      <c r="W141" s="3"/>
      <c r="X141" s="3"/>
      <c r="Y141" s="3"/>
      <c r="Z141" s="50"/>
      <c r="AD141" s="3"/>
      <c r="AE141" s="3"/>
      <c r="AF141" s="3"/>
    </row>
    <row r="142" spans="1:32" ht="15.75">
      <c r="A142" s="5"/>
      <c r="B142" s="3"/>
      <c r="C142" s="3"/>
      <c r="D142" s="3"/>
      <c r="E142" s="19"/>
      <c r="F142" s="19"/>
      <c r="G142" s="19"/>
      <c r="H142" s="3"/>
      <c r="I142" s="3"/>
      <c r="J142" s="3"/>
      <c r="K142" s="3"/>
      <c r="L142" s="19"/>
      <c r="M142" s="19"/>
      <c r="N142" s="19"/>
      <c r="O142" s="3"/>
      <c r="P142" s="3"/>
      <c r="Q142" s="3"/>
      <c r="R142" s="3"/>
      <c r="T142" s="3"/>
      <c r="U142" s="3"/>
      <c r="V142" s="3"/>
      <c r="W142" s="3"/>
      <c r="X142" s="3"/>
      <c r="Y142" s="3"/>
      <c r="Z142" s="50"/>
      <c r="AD142" s="3"/>
      <c r="AE142" s="3"/>
      <c r="AF142" s="3"/>
    </row>
    <row r="143" spans="1:32" ht="15.75">
      <c r="A143" s="5"/>
      <c r="B143" s="3"/>
      <c r="C143" s="3"/>
      <c r="D143" s="3"/>
      <c r="E143" s="19"/>
      <c r="F143" s="19"/>
      <c r="G143" s="19"/>
      <c r="H143" s="3"/>
      <c r="I143" s="3"/>
      <c r="J143" s="3"/>
      <c r="K143" s="3"/>
      <c r="L143" s="19"/>
      <c r="M143" s="19"/>
      <c r="N143" s="19"/>
      <c r="O143" s="3"/>
      <c r="P143" s="3"/>
      <c r="Q143" s="3"/>
      <c r="R143" s="3"/>
      <c r="T143" s="3"/>
      <c r="U143" s="3"/>
      <c r="V143" s="3"/>
      <c r="W143" s="3"/>
      <c r="X143" s="3"/>
      <c r="Y143" s="3"/>
      <c r="Z143" s="50"/>
      <c r="AD143" s="3"/>
      <c r="AE143" s="3"/>
      <c r="AF143" s="3"/>
    </row>
    <row r="144" spans="1:32" ht="15.75">
      <c r="A144" s="5"/>
      <c r="B144" s="3"/>
      <c r="C144" s="3"/>
      <c r="D144" s="3"/>
      <c r="E144" s="19"/>
      <c r="F144" s="19"/>
      <c r="G144" s="19"/>
      <c r="H144" s="3"/>
      <c r="I144" s="3"/>
      <c r="J144" s="3"/>
      <c r="K144" s="3"/>
      <c r="L144" s="19"/>
      <c r="M144" s="19"/>
      <c r="N144" s="19"/>
      <c r="O144" s="3"/>
      <c r="P144" s="3"/>
      <c r="Q144" s="3"/>
      <c r="R144" s="3"/>
      <c r="T144" s="3"/>
      <c r="U144" s="3"/>
      <c r="V144" s="3"/>
      <c r="W144" s="3"/>
      <c r="X144" s="3"/>
      <c r="Y144" s="3"/>
      <c r="Z144" s="50"/>
      <c r="AD144" s="3"/>
      <c r="AE144" s="3"/>
      <c r="AF144" s="3"/>
    </row>
    <row r="145" spans="1:32" ht="15.75">
      <c r="A145" s="5"/>
      <c r="B145" s="3"/>
      <c r="C145" s="3"/>
      <c r="D145" s="3"/>
      <c r="E145" s="19"/>
      <c r="F145" s="19"/>
      <c r="G145" s="19"/>
      <c r="H145" s="3"/>
      <c r="I145" s="3"/>
      <c r="J145" s="3"/>
      <c r="K145" s="3"/>
      <c r="L145" s="19"/>
      <c r="M145" s="19"/>
      <c r="N145" s="19"/>
      <c r="O145" s="3"/>
      <c r="P145" s="3"/>
      <c r="Q145" s="3"/>
      <c r="R145" s="3"/>
      <c r="T145" s="3"/>
      <c r="U145" s="3"/>
      <c r="V145" s="3"/>
      <c r="W145" s="3"/>
      <c r="X145" s="3"/>
      <c r="Y145" s="3"/>
      <c r="Z145" s="50"/>
      <c r="AD145" s="3"/>
      <c r="AE145" s="3"/>
      <c r="AF145" s="3"/>
    </row>
    <row r="146" spans="1:32" ht="15.75">
      <c r="A146" s="5"/>
      <c r="B146" s="3"/>
      <c r="C146" s="3"/>
      <c r="D146" s="3"/>
      <c r="E146" s="19"/>
      <c r="F146" s="19"/>
      <c r="G146" s="19"/>
      <c r="H146" s="3"/>
      <c r="I146" s="3"/>
      <c r="J146" s="3"/>
      <c r="K146" s="3"/>
      <c r="L146" s="19"/>
      <c r="M146" s="19"/>
      <c r="N146" s="19"/>
      <c r="O146" s="3"/>
      <c r="P146" s="3"/>
      <c r="Q146" s="3"/>
      <c r="R146" s="3"/>
      <c r="T146" s="3"/>
      <c r="U146" s="3"/>
      <c r="V146" s="3"/>
      <c r="W146" s="3"/>
      <c r="X146" s="3"/>
      <c r="Y146" s="3"/>
      <c r="Z146" s="50"/>
      <c r="AD146" s="3"/>
      <c r="AE146" s="3"/>
      <c r="AF146" s="3"/>
    </row>
    <row r="147" spans="1:32" ht="15.75">
      <c r="A147" s="5"/>
      <c r="B147" s="3"/>
      <c r="C147" s="3"/>
      <c r="D147" s="3"/>
      <c r="E147" s="19"/>
      <c r="F147" s="19"/>
      <c r="G147" s="19"/>
      <c r="H147" s="3"/>
      <c r="I147" s="3"/>
      <c r="J147" s="3"/>
      <c r="K147" s="3"/>
      <c r="L147" s="19"/>
      <c r="M147" s="19"/>
      <c r="N147" s="19"/>
      <c r="O147" s="3"/>
      <c r="P147" s="3"/>
      <c r="Q147" s="3"/>
      <c r="R147" s="3"/>
      <c r="T147" s="3"/>
      <c r="U147" s="3"/>
      <c r="V147" s="3"/>
      <c r="W147" s="3"/>
      <c r="X147" s="3"/>
      <c r="Y147" s="3"/>
      <c r="Z147" s="50"/>
      <c r="AD147" s="3"/>
      <c r="AE147" s="3"/>
      <c r="AF147" s="3"/>
    </row>
    <row r="148" spans="1:32" ht="15.75">
      <c r="A148" s="5"/>
      <c r="B148" s="3"/>
      <c r="C148" s="3"/>
      <c r="D148" s="3"/>
      <c r="E148" s="19"/>
      <c r="F148" s="19"/>
      <c r="G148" s="19"/>
      <c r="H148" s="3"/>
      <c r="I148" s="3"/>
      <c r="J148" s="3"/>
      <c r="K148" s="3"/>
      <c r="L148" s="19"/>
      <c r="M148" s="19"/>
      <c r="N148" s="19"/>
      <c r="O148" s="3"/>
      <c r="P148" s="3"/>
      <c r="Q148" s="3"/>
      <c r="R148" s="3"/>
      <c r="T148" s="3"/>
      <c r="U148" s="3"/>
      <c r="V148" s="3"/>
      <c r="W148" s="3"/>
      <c r="X148" s="3"/>
      <c r="Y148" s="3"/>
      <c r="Z148" s="50"/>
      <c r="AD148" s="3"/>
      <c r="AE148" s="3"/>
      <c r="AF148" s="3"/>
    </row>
    <row r="149" spans="1:32" ht="15.75">
      <c r="A149" s="5"/>
      <c r="B149" s="3"/>
      <c r="C149" s="3"/>
      <c r="D149" s="3"/>
      <c r="E149" s="19"/>
      <c r="F149" s="19"/>
      <c r="G149" s="19"/>
      <c r="H149" s="3"/>
      <c r="I149" s="3"/>
      <c r="J149" s="3"/>
      <c r="K149" s="3"/>
      <c r="L149" s="19"/>
      <c r="M149" s="19"/>
      <c r="N149" s="19"/>
      <c r="O149" s="3"/>
      <c r="P149" s="3"/>
      <c r="Q149" s="3"/>
      <c r="R149" s="3"/>
      <c r="T149" s="3"/>
      <c r="U149" s="3"/>
      <c r="V149" s="3"/>
      <c r="W149" s="3"/>
      <c r="X149" s="3"/>
      <c r="Y149" s="3"/>
      <c r="Z149" s="50"/>
      <c r="AD149" s="3"/>
      <c r="AE149" s="3"/>
      <c r="AF149" s="3"/>
    </row>
    <row r="150" spans="1:32" ht="15.75">
      <c r="A150" s="5"/>
      <c r="B150" s="3"/>
      <c r="C150" s="3"/>
      <c r="D150" s="3"/>
      <c r="E150" s="19"/>
      <c r="F150" s="19"/>
      <c r="G150" s="19"/>
      <c r="H150" s="3"/>
      <c r="I150" s="3"/>
      <c r="J150" s="3"/>
      <c r="K150" s="3"/>
      <c r="L150" s="19"/>
      <c r="M150" s="19"/>
      <c r="N150" s="19"/>
      <c r="O150" s="3"/>
      <c r="P150" s="3"/>
      <c r="Q150" s="3"/>
      <c r="R150" s="3"/>
      <c r="T150" s="3"/>
      <c r="U150" s="3"/>
      <c r="V150" s="3"/>
      <c r="W150" s="3"/>
      <c r="X150" s="3"/>
      <c r="Y150" s="3"/>
      <c r="Z150" s="50"/>
      <c r="AD150" s="3"/>
      <c r="AE150" s="3"/>
      <c r="AF150" s="3"/>
    </row>
    <row r="151" spans="1:26" ht="15.75">
      <c r="A151" s="1"/>
      <c r="X151" s="3"/>
      <c r="Y151" s="3"/>
      <c r="Z151" s="50"/>
    </row>
    <row r="152" spans="1:26" ht="15.75">
      <c r="A152" s="1"/>
      <c r="X152" s="3"/>
      <c r="Y152" s="3"/>
      <c r="Z152" s="50"/>
    </row>
    <row r="153" spans="1:26" ht="15.75">
      <c r="A153" s="1"/>
      <c r="X153" s="3"/>
      <c r="Y153" s="3"/>
      <c r="Z153" s="50"/>
    </row>
    <row r="154" spans="1:26" ht="15.75">
      <c r="A154" s="1"/>
      <c r="X154" s="3"/>
      <c r="Y154" s="3"/>
      <c r="Z154" s="50"/>
    </row>
    <row r="155" spans="1:26" ht="15.75">
      <c r="A155" s="1"/>
      <c r="X155" s="3"/>
      <c r="Y155" s="3"/>
      <c r="Z155" s="50"/>
    </row>
    <row r="156" spans="1:26" ht="15.75">
      <c r="A156" s="1"/>
      <c r="X156" s="3"/>
      <c r="Y156" s="3"/>
      <c r="Z156" s="50"/>
    </row>
    <row r="157" spans="1:26" ht="15.75">
      <c r="A157" s="1"/>
      <c r="X157" s="3"/>
      <c r="Y157" s="3"/>
      <c r="Z157" s="50"/>
    </row>
    <row r="158" spans="1:26" ht="15.75">
      <c r="A158" s="1"/>
      <c r="X158" s="3"/>
      <c r="Y158" s="3"/>
      <c r="Z158" s="50"/>
    </row>
    <row r="159" spans="1:26" ht="15.75">
      <c r="A159" s="1"/>
      <c r="X159" s="3"/>
      <c r="Y159" s="3"/>
      <c r="Z159" s="50"/>
    </row>
    <row r="160" spans="1:26" ht="15.75">
      <c r="A160" s="1"/>
      <c r="X160" s="3"/>
      <c r="Y160" s="3"/>
      <c r="Z160" s="50"/>
    </row>
    <row r="161" spans="1:26" ht="15.75">
      <c r="A161" s="1"/>
      <c r="X161" s="3"/>
      <c r="Y161" s="3"/>
      <c r="Z161" s="50"/>
    </row>
    <row r="162" spans="1:26" ht="15.75">
      <c r="A162" s="1"/>
      <c r="X162" s="3"/>
      <c r="Y162" s="3"/>
      <c r="Z162" s="50"/>
    </row>
    <row r="163" spans="1:26" ht="15.75">
      <c r="A163" s="1"/>
      <c r="X163" s="3"/>
      <c r="Y163" s="3"/>
      <c r="Z163" s="50"/>
    </row>
    <row r="164" spans="1:26" ht="15.75">
      <c r="A164" s="1"/>
      <c r="X164" s="3"/>
      <c r="Y164" s="3"/>
      <c r="Z164" s="50"/>
    </row>
    <row r="165" spans="1:26" ht="15.75">
      <c r="A165" s="1"/>
      <c r="X165" s="3"/>
      <c r="Y165" s="3"/>
      <c r="Z165" s="50"/>
    </row>
    <row r="166" spans="1:26" ht="15.75">
      <c r="A166" s="1"/>
      <c r="X166" s="3"/>
      <c r="Y166" s="3"/>
      <c r="Z166" s="50"/>
    </row>
    <row r="167" spans="1:26" ht="15.75">
      <c r="A167" s="1"/>
      <c r="X167" s="3"/>
      <c r="Y167" s="3"/>
      <c r="Z167" s="50"/>
    </row>
    <row r="168" spans="1:26" ht="15.75">
      <c r="A168" s="1"/>
      <c r="X168" s="3"/>
      <c r="Y168" s="3"/>
      <c r="Z168" s="50"/>
    </row>
    <row r="169" spans="1:26" ht="15.75">
      <c r="A169" s="1"/>
      <c r="X169" s="3"/>
      <c r="Y169" s="3"/>
      <c r="Z169" s="50"/>
    </row>
    <row r="170" spans="1:26" ht="15.75">
      <c r="A170" s="1"/>
      <c r="X170" s="3"/>
      <c r="Y170" s="3"/>
      <c r="Z170" s="50"/>
    </row>
    <row r="171" spans="1:26" ht="15.75">
      <c r="A171" s="1"/>
      <c r="X171" s="3"/>
      <c r="Y171" s="3"/>
      <c r="Z171" s="50"/>
    </row>
    <row r="172" spans="1:26" ht="15.75">
      <c r="A172" s="1"/>
      <c r="X172" s="3"/>
      <c r="Y172" s="3"/>
      <c r="Z172" s="50"/>
    </row>
    <row r="173" spans="1:26" ht="15.75">
      <c r="A173" s="1"/>
      <c r="X173" s="3"/>
      <c r="Y173" s="3"/>
      <c r="Z173" s="50"/>
    </row>
    <row r="174" spans="1:26" ht="15.75">
      <c r="A174" s="1"/>
      <c r="X174" s="3"/>
      <c r="Y174" s="3"/>
      <c r="Z174" s="50"/>
    </row>
    <row r="175" spans="1:26" ht="15.75">
      <c r="A175" s="1"/>
      <c r="X175" s="3"/>
      <c r="Y175" s="3"/>
      <c r="Z175" s="50"/>
    </row>
    <row r="176" spans="1:26" ht="15.75">
      <c r="A176" s="1"/>
      <c r="X176" s="3"/>
      <c r="Y176" s="3"/>
      <c r="Z176" s="50"/>
    </row>
    <row r="177" spans="1:26" ht="15.75">
      <c r="A177" s="1"/>
      <c r="X177" s="3"/>
      <c r="Y177" s="3"/>
      <c r="Z177" s="50"/>
    </row>
    <row r="178" spans="1:26" ht="15.75">
      <c r="A178" s="1"/>
      <c r="X178" s="3"/>
      <c r="Y178" s="3"/>
      <c r="Z178" s="50"/>
    </row>
    <row r="179" spans="1:26" ht="15.75">
      <c r="A179" s="1"/>
      <c r="X179" s="3"/>
      <c r="Y179" s="3"/>
      <c r="Z179" s="50"/>
    </row>
    <row r="180" spans="1:26" ht="15.75">
      <c r="A180" s="1"/>
      <c r="X180" s="3"/>
      <c r="Y180" s="3"/>
      <c r="Z180" s="50"/>
    </row>
    <row r="181" spans="1:26" ht="15.75">
      <c r="A181" s="1"/>
      <c r="X181" s="3"/>
      <c r="Y181" s="3"/>
      <c r="Z181" s="50"/>
    </row>
    <row r="182" spans="1:26" ht="15.75">
      <c r="A182" s="1"/>
      <c r="X182" s="3"/>
      <c r="Y182" s="3"/>
      <c r="Z182" s="50"/>
    </row>
    <row r="183" spans="1:26" ht="15.75">
      <c r="A183" s="1"/>
      <c r="X183" s="3"/>
      <c r="Y183" s="3"/>
      <c r="Z183" s="50"/>
    </row>
    <row r="184" spans="1:26" ht="15.75">
      <c r="A184" s="1"/>
      <c r="X184" s="3"/>
      <c r="Y184" s="3"/>
      <c r="Z184" s="50"/>
    </row>
    <row r="185" spans="1:26" ht="15.75">
      <c r="A185" s="1"/>
      <c r="X185" s="3"/>
      <c r="Y185" s="3"/>
      <c r="Z185" s="50"/>
    </row>
    <row r="186" spans="1:26" ht="15.75">
      <c r="A186" s="1"/>
      <c r="X186" s="3"/>
      <c r="Y186" s="3"/>
      <c r="Z186" s="50"/>
    </row>
    <row r="187" spans="1:26" ht="15.75">
      <c r="A187" s="1"/>
      <c r="X187" s="3"/>
      <c r="Y187" s="3"/>
      <c r="Z187" s="50"/>
    </row>
    <row r="188" spans="1:26" ht="15.75">
      <c r="A188" s="1"/>
      <c r="X188" s="3"/>
      <c r="Y188" s="3"/>
      <c r="Z188" s="50"/>
    </row>
    <row r="189" spans="1:26" ht="15.75">
      <c r="A189" s="1"/>
      <c r="X189" s="3"/>
      <c r="Y189" s="3"/>
      <c r="Z189" s="50"/>
    </row>
    <row r="190" spans="1:26" ht="15.75">
      <c r="A190" s="1"/>
      <c r="X190" s="3"/>
      <c r="Y190" s="3"/>
      <c r="Z190" s="50"/>
    </row>
    <row r="191" spans="1:26" ht="15.75">
      <c r="A191" s="1"/>
      <c r="X191" s="3"/>
      <c r="Y191" s="3"/>
      <c r="Z191" s="50"/>
    </row>
    <row r="192" spans="1:26" ht="15.75">
      <c r="A192" s="1"/>
      <c r="X192" s="3"/>
      <c r="Y192" s="3"/>
      <c r="Z192" s="50"/>
    </row>
    <row r="193" spans="1:26" ht="15.75">
      <c r="A193" s="1"/>
      <c r="X193" s="3"/>
      <c r="Y193" s="3"/>
      <c r="Z193" s="50"/>
    </row>
    <row r="194" spans="1:26" ht="15.75">
      <c r="A194" s="1"/>
      <c r="X194" s="3"/>
      <c r="Y194" s="3"/>
      <c r="Z194" s="50"/>
    </row>
    <row r="195" spans="1:26" ht="15.75">
      <c r="A195" s="1"/>
      <c r="X195" s="3"/>
      <c r="Y195" s="3"/>
      <c r="Z195" s="50"/>
    </row>
    <row r="196" spans="1:26" ht="15.75">
      <c r="A196" s="1"/>
      <c r="X196" s="3"/>
      <c r="Y196" s="3"/>
      <c r="Z196" s="50"/>
    </row>
    <row r="197" spans="1:26" ht="15.75">
      <c r="A197" s="1"/>
      <c r="X197" s="3"/>
      <c r="Y197" s="3"/>
      <c r="Z197" s="50"/>
    </row>
    <row r="198" spans="1:26" ht="15.75">
      <c r="A198" s="1"/>
      <c r="X198" s="3"/>
      <c r="Y198" s="3"/>
      <c r="Z198" s="50"/>
    </row>
    <row r="199" spans="1:26" ht="15.75">
      <c r="A199" s="1"/>
      <c r="X199" s="3"/>
      <c r="Y199" s="3"/>
      <c r="Z199" s="50"/>
    </row>
    <row r="200" spans="1:26" ht="15.75">
      <c r="A200" s="1"/>
      <c r="X200" s="3"/>
      <c r="Y200" s="3"/>
      <c r="Z200" s="50"/>
    </row>
    <row r="201" spans="1:26" ht="15.75">
      <c r="A201" s="1"/>
      <c r="X201" s="3"/>
      <c r="Y201" s="3"/>
      <c r="Z201" s="50"/>
    </row>
    <row r="202" spans="1:26" ht="15.75">
      <c r="A202" s="1"/>
      <c r="X202" s="3"/>
      <c r="Y202" s="3"/>
      <c r="Z202" s="50"/>
    </row>
    <row r="203" spans="1:26" ht="15.75">
      <c r="A203" s="1"/>
      <c r="X203" s="3"/>
      <c r="Y203" s="3"/>
      <c r="Z203" s="50"/>
    </row>
    <row r="204" spans="1:26" ht="15.75">
      <c r="A204" s="1"/>
      <c r="X204" s="3"/>
      <c r="Y204" s="3"/>
      <c r="Z204" s="50"/>
    </row>
    <row r="205" spans="1:26" ht="15.75">
      <c r="A205" s="1"/>
      <c r="X205" s="3"/>
      <c r="Y205" s="3"/>
      <c r="Z205" s="50"/>
    </row>
    <row r="206" spans="1:26" ht="15.75">
      <c r="A206" s="1"/>
      <c r="X206" s="3"/>
      <c r="Y206" s="3"/>
      <c r="Z206" s="50"/>
    </row>
    <row r="207" spans="1:26" ht="15.75">
      <c r="A207" s="1"/>
      <c r="X207" s="3"/>
      <c r="Y207" s="3"/>
      <c r="Z207" s="50"/>
    </row>
    <row r="208" spans="1:26" ht="15.75">
      <c r="A208" s="1"/>
      <c r="X208" s="3"/>
      <c r="Y208" s="3"/>
      <c r="Z208" s="50"/>
    </row>
    <row r="209" spans="1:26" ht="15.75">
      <c r="A209" s="1"/>
      <c r="X209" s="3"/>
      <c r="Y209" s="3"/>
      <c r="Z209" s="50"/>
    </row>
    <row r="210" spans="1:26" ht="15.75">
      <c r="A210" s="1"/>
      <c r="X210" s="3"/>
      <c r="Y210" s="3"/>
      <c r="Z210" s="50"/>
    </row>
    <row r="211" spans="1:26" ht="15.75">
      <c r="A211" s="1"/>
      <c r="X211" s="3"/>
      <c r="Y211" s="3"/>
      <c r="Z211" s="50"/>
    </row>
    <row r="212" spans="1:26" ht="15.75">
      <c r="A212" s="1"/>
      <c r="X212" s="3"/>
      <c r="Y212" s="3"/>
      <c r="Z212" s="50"/>
    </row>
    <row r="213" spans="1:26" ht="15.75">
      <c r="A213" s="1"/>
      <c r="X213" s="3"/>
      <c r="Y213" s="3"/>
      <c r="Z213" s="50"/>
    </row>
    <row r="214" spans="1:26" ht="15.75">
      <c r="A214" s="1"/>
      <c r="X214" s="3"/>
      <c r="Y214" s="3"/>
      <c r="Z214" s="50"/>
    </row>
    <row r="215" spans="1:26" ht="15.75">
      <c r="A215" s="1"/>
      <c r="X215" s="3"/>
      <c r="Y215" s="3"/>
      <c r="Z215" s="50"/>
    </row>
    <row r="216" spans="1:26" ht="15.75">
      <c r="A216" s="1"/>
      <c r="X216" s="3"/>
      <c r="Y216" s="3"/>
      <c r="Z216" s="50"/>
    </row>
    <row r="217" spans="1:26" ht="15.75">
      <c r="A217" s="1"/>
      <c r="X217" s="3"/>
      <c r="Y217" s="3"/>
      <c r="Z217" s="50"/>
    </row>
    <row r="218" spans="1:26" ht="15.75">
      <c r="A218" s="1"/>
      <c r="X218" s="3"/>
      <c r="Y218" s="3"/>
      <c r="Z218" s="50"/>
    </row>
    <row r="219" spans="1:26" ht="15.75">
      <c r="A219" s="1"/>
      <c r="X219" s="3"/>
      <c r="Y219" s="3"/>
      <c r="Z219" s="50"/>
    </row>
    <row r="220" spans="1:26" ht="15.75">
      <c r="A220" s="1"/>
      <c r="X220" s="3"/>
      <c r="Y220" s="3"/>
      <c r="Z220" s="50"/>
    </row>
    <row r="221" spans="1:26" ht="15.75">
      <c r="A221" s="1"/>
      <c r="X221" s="3"/>
      <c r="Y221" s="3"/>
      <c r="Z221" s="50"/>
    </row>
    <row r="222" spans="1:26" ht="15.75">
      <c r="A222" s="1"/>
      <c r="X222" s="3"/>
      <c r="Y222" s="3"/>
      <c r="Z222" s="50"/>
    </row>
    <row r="223" spans="1:26" ht="15.75">
      <c r="A223" s="1"/>
      <c r="X223" s="3"/>
      <c r="Y223" s="3"/>
      <c r="Z223" s="50"/>
    </row>
    <row r="224" spans="1:26" ht="15.75">
      <c r="A224" s="1"/>
      <c r="X224" s="3"/>
      <c r="Y224" s="3"/>
      <c r="Z224" s="50"/>
    </row>
    <row r="225" spans="1:26" ht="15.75">
      <c r="A225" s="1"/>
      <c r="X225" s="3"/>
      <c r="Y225" s="3"/>
      <c r="Z225" s="50"/>
    </row>
    <row r="226" spans="1:26" ht="15.75">
      <c r="A226" s="1"/>
      <c r="X226" s="3"/>
      <c r="Y226" s="3"/>
      <c r="Z226" s="50"/>
    </row>
    <row r="227" spans="1:26" ht="15.75">
      <c r="A227" s="1"/>
      <c r="X227" s="3"/>
      <c r="Y227" s="3"/>
      <c r="Z227" s="50"/>
    </row>
    <row r="228" spans="1:26" ht="15.75">
      <c r="A228" s="1"/>
      <c r="X228" s="3"/>
      <c r="Y228" s="3"/>
      <c r="Z228" s="50"/>
    </row>
    <row r="229" spans="1:26" ht="15.75">
      <c r="A229" s="1"/>
      <c r="X229" s="3"/>
      <c r="Y229" s="3"/>
      <c r="Z229" s="50"/>
    </row>
    <row r="230" spans="1:26" ht="15.75">
      <c r="A230" s="1"/>
      <c r="X230" s="3"/>
      <c r="Y230" s="3"/>
      <c r="Z230" s="50"/>
    </row>
    <row r="231" spans="1:26" ht="15.75">
      <c r="A231" s="1"/>
      <c r="X231" s="3"/>
      <c r="Y231" s="3"/>
      <c r="Z231" s="50"/>
    </row>
    <row r="232" spans="1:26" ht="15.75">
      <c r="A232" s="1"/>
      <c r="X232" s="3"/>
      <c r="Y232" s="3"/>
      <c r="Z232" s="50"/>
    </row>
    <row r="233" spans="1:26" ht="15.75">
      <c r="A233" s="1"/>
      <c r="X233" s="3"/>
      <c r="Y233" s="3"/>
      <c r="Z233" s="50"/>
    </row>
    <row r="234" spans="1:26" ht="15.75">
      <c r="A234" s="1"/>
      <c r="X234" s="3"/>
      <c r="Y234" s="3"/>
      <c r="Z234" s="50"/>
    </row>
    <row r="235" spans="1:26" ht="15.75">
      <c r="A235" s="1"/>
      <c r="X235" s="3"/>
      <c r="Y235" s="3"/>
      <c r="Z235" s="50"/>
    </row>
    <row r="236" spans="1:26" ht="15.75">
      <c r="A236" s="1"/>
      <c r="X236" s="3"/>
      <c r="Y236" s="3"/>
      <c r="Z236" s="50"/>
    </row>
    <row r="237" spans="1:26" ht="15.75">
      <c r="A237" s="1"/>
      <c r="X237" s="3"/>
      <c r="Y237" s="3"/>
      <c r="Z237" s="50"/>
    </row>
    <row r="238" spans="1:26" ht="15.75">
      <c r="A238" s="1"/>
      <c r="X238" s="3"/>
      <c r="Y238" s="3"/>
      <c r="Z238" s="50"/>
    </row>
    <row r="239" spans="1:26" ht="15.75">
      <c r="A239" s="1"/>
      <c r="X239" s="3"/>
      <c r="Y239" s="3"/>
      <c r="Z239" s="50"/>
    </row>
    <row r="240" spans="1:26" ht="15.75">
      <c r="A240" s="1"/>
      <c r="X240" s="3"/>
      <c r="Y240" s="3"/>
      <c r="Z240" s="50"/>
    </row>
    <row r="241" spans="1:26" ht="15.75">
      <c r="A241" s="1"/>
      <c r="X241" s="3"/>
      <c r="Y241" s="3"/>
      <c r="Z241" s="50"/>
    </row>
    <row r="242" spans="1:26" ht="15.75">
      <c r="A242" s="1"/>
      <c r="X242" s="3"/>
      <c r="Y242" s="3"/>
      <c r="Z242" s="50"/>
    </row>
    <row r="243" spans="1:26" ht="15.75">
      <c r="A243" s="1"/>
      <c r="X243" s="3"/>
      <c r="Y243" s="3"/>
      <c r="Z243" s="50"/>
    </row>
    <row r="244" spans="1:26" ht="15.75">
      <c r="A244" s="1"/>
      <c r="X244" s="3"/>
      <c r="Y244" s="3"/>
      <c r="Z244" s="50"/>
    </row>
    <row r="245" spans="1:26" ht="15.75">
      <c r="A245" s="1"/>
      <c r="X245" s="3"/>
      <c r="Y245" s="3"/>
      <c r="Z245" s="50"/>
    </row>
    <row r="246" spans="1:26" ht="15.75">
      <c r="A246" s="1"/>
      <c r="X246" s="3"/>
      <c r="Y246" s="3"/>
      <c r="Z246" s="50"/>
    </row>
    <row r="247" spans="1:26" ht="15.75">
      <c r="A247" s="1"/>
      <c r="X247" s="3"/>
      <c r="Y247" s="3"/>
      <c r="Z247" s="50"/>
    </row>
    <row r="248" spans="1:26" ht="15.75">
      <c r="A248" s="1"/>
      <c r="X248" s="3"/>
      <c r="Y248" s="3"/>
      <c r="Z248" s="50"/>
    </row>
    <row r="249" spans="1:26" ht="15.75">
      <c r="A249" s="1"/>
      <c r="X249" s="3"/>
      <c r="Y249" s="3"/>
      <c r="Z249" s="50"/>
    </row>
    <row r="250" spans="1:26" ht="15.75">
      <c r="A250" s="1"/>
      <c r="X250" s="3"/>
      <c r="Y250" s="3"/>
      <c r="Z250" s="50"/>
    </row>
    <row r="251" spans="1:26" ht="15.75">
      <c r="A251" s="1"/>
      <c r="X251" s="3"/>
      <c r="Y251" s="3"/>
      <c r="Z251" s="50"/>
    </row>
    <row r="252" spans="1:26" ht="15.75">
      <c r="A252" s="1"/>
      <c r="X252" s="3"/>
      <c r="Y252" s="3"/>
      <c r="Z252" s="50"/>
    </row>
    <row r="253" spans="1:26" ht="15.75">
      <c r="A253" s="1"/>
      <c r="X253" s="3"/>
      <c r="Y253" s="3"/>
      <c r="Z253" s="50"/>
    </row>
    <row r="254" spans="1:26" ht="15.75">
      <c r="A254" s="1"/>
      <c r="X254" s="3"/>
      <c r="Y254" s="3"/>
      <c r="Z254" s="50"/>
    </row>
    <row r="255" spans="1:26" ht="15.75">
      <c r="A255" s="1"/>
      <c r="X255" s="3"/>
      <c r="Y255" s="3"/>
      <c r="Z255" s="50"/>
    </row>
    <row r="256" spans="1:26" ht="15.75">
      <c r="A256" s="1"/>
      <c r="X256" s="3"/>
      <c r="Y256" s="3"/>
      <c r="Z256" s="50"/>
    </row>
    <row r="257" spans="1:26" ht="15.75">
      <c r="A257" s="1"/>
      <c r="X257" s="3"/>
      <c r="Y257" s="3"/>
      <c r="Z257" s="50"/>
    </row>
    <row r="258" spans="1:26" ht="15.75">
      <c r="A258" s="1"/>
      <c r="X258" s="3"/>
      <c r="Y258" s="3"/>
      <c r="Z258" s="50"/>
    </row>
    <row r="259" spans="1:26" ht="15.75">
      <c r="A259" s="1"/>
      <c r="X259" s="3"/>
      <c r="Y259" s="3"/>
      <c r="Z259" s="50"/>
    </row>
    <row r="260" spans="1:26" ht="15.75">
      <c r="A260" s="1"/>
      <c r="X260" s="3"/>
      <c r="Y260" s="3"/>
      <c r="Z260" s="50"/>
    </row>
    <row r="261" spans="1:26" ht="15.75">
      <c r="A261" s="1"/>
      <c r="X261" s="3"/>
      <c r="Y261" s="3"/>
      <c r="Z261" s="50"/>
    </row>
    <row r="262" spans="1:26" ht="15.75">
      <c r="A262" s="1"/>
      <c r="X262" s="3"/>
      <c r="Y262" s="3"/>
      <c r="Z262" s="50"/>
    </row>
    <row r="263" spans="1:26" ht="15.75">
      <c r="A263" s="1"/>
      <c r="X263" s="3"/>
      <c r="Y263" s="3"/>
      <c r="Z263" s="50"/>
    </row>
    <row r="264" spans="1:26" ht="15.75">
      <c r="A264" s="1"/>
      <c r="X264" s="3"/>
      <c r="Y264" s="3"/>
      <c r="Z264" s="50"/>
    </row>
    <row r="265" spans="1:26" ht="15.75">
      <c r="A265" s="1"/>
      <c r="X265" s="3"/>
      <c r="Y265" s="3"/>
      <c r="Z265" s="50"/>
    </row>
    <row r="266" spans="1:26" ht="15.75">
      <c r="A266" s="1"/>
      <c r="X266" s="3"/>
      <c r="Y266" s="3"/>
      <c r="Z266" s="50"/>
    </row>
    <row r="267" spans="1:26" ht="15.75">
      <c r="A267" s="1"/>
      <c r="X267" s="3"/>
      <c r="Y267" s="3"/>
      <c r="Z267" s="50"/>
    </row>
    <row r="268" spans="1:26" ht="15.75">
      <c r="A268" s="1"/>
      <c r="X268" s="3"/>
      <c r="Y268" s="3"/>
      <c r="Z268" s="50"/>
    </row>
    <row r="269" spans="1:26" ht="15.75">
      <c r="A269" s="1"/>
      <c r="X269" s="3"/>
      <c r="Y269" s="3"/>
      <c r="Z269" s="50"/>
    </row>
    <row r="270" spans="1:26" ht="15.75">
      <c r="A270" s="1"/>
      <c r="X270" s="3"/>
      <c r="Y270" s="3"/>
      <c r="Z270" s="50"/>
    </row>
    <row r="271" spans="1:26" ht="15.75">
      <c r="A271" s="1"/>
      <c r="X271" s="3"/>
      <c r="Y271" s="3"/>
      <c r="Z271" s="50"/>
    </row>
    <row r="272" spans="1:26" ht="15.75">
      <c r="A272" s="1"/>
      <c r="X272" s="3"/>
      <c r="Y272" s="3"/>
      <c r="Z272" s="50"/>
    </row>
    <row r="273" spans="1:26" ht="15.75">
      <c r="A273" s="1"/>
      <c r="X273" s="3"/>
      <c r="Y273" s="3"/>
      <c r="Z273" s="50"/>
    </row>
    <row r="274" spans="1:26" ht="15.75">
      <c r="A274" s="1"/>
      <c r="X274" s="3"/>
      <c r="Y274" s="3"/>
      <c r="Z274" s="50"/>
    </row>
    <row r="275" spans="1:26" ht="15.75">
      <c r="A275" s="1"/>
      <c r="X275" s="3"/>
      <c r="Y275" s="3"/>
      <c r="Z275" s="50"/>
    </row>
    <row r="276" spans="1:26" ht="15.75">
      <c r="A276" s="1"/>
      <c r="X276" s="3"/>
      <c r="Y276" s="3"/>
      <c r="Z276" s="50"/>
    </row>
    <row r="277" spans="1:26" ht="15.75">
      <c r="A277" s="1"/>
      <c r="X277" s="3"/>
      <c r="Y277" s="3"/>
      <c r="Z277" s="50"/>
    </row>
    <row r="278" spans="1:26" ht="15.75">
      <c r="A278" s="1"/>
      <c r="X278" s="3"/>
      <c r="Y278" s="3"/>
      <c r="Z278" s="50"/>
    </row>
    <row r="279" spans="1:26" ht="15.75">
      <c r="A279" s="1"/>
      <c r="X279" s="3"/>
      <c r="Y279" s="3"/>
      <c r="Z279" s="50"/>
    </row>
    <row r="280" spans="1:26" ht="15.75">
      <c r="A280" s="1"/>
      <c r="X280" s="3"/>
      <c r="Y280" s="3"/>
      <c r="Z280" s="50"/>
    </row>
    <row r="281" spans="1:26" ht="15.75">
      <c r="A281" s="1"/>
      <c r="X281" s="3"/>
      <c r="Y281" s="3"/>
      <c r="Z281" s="50"/>
    </row>
    <row r="282" spans="1:26" ht="15.75">
      <c r="A282" s="1"/>
      <c r="X282" s="3"/>
      <c r="Y282" s="3"/>
      <c r="Z282" s="50"/>
    </row>
    <row r="283" spans="1:26" ht="15.75">
      <c r="A283" s="1"/>
      <c r="X283" s="3"/>
      <c r="Y283" s="3"/>
      <c r="Z283" s="50"/>
    </row>
    <row r="284" spans="1:26" ht="15.75">
      <c r="A284" s="1"/>
      <c r="X284" s="3"/>
      <c r="Y284" s="3"/>
      <c r="Z284" s="50"/>
    </row>
    <row r="285" spans="1:26" ht="15.75">
      <c r="A285" s="1"/>
      <c r="X285" s="3"/>
      <c r="Y285" s="3"/>
      <c r="Z285" s="50"/>
    </row>
    <row r="286" spans="1:26" ht="15.75">
      <c r="A286" s="1"/>
      <c r="X286" s="3"/>
      <c r="Y286" s="3"/>
      <c r="Z286" s="50"/>
    </row>
    <row r="287" spans="1:26" ht="15.75">
      <c r="A287" s="1"/>
      <c r="X287" s="3"/>
      <c r="Y287" s="3"/>
      <c r="Z287" s="50"/>
    </row>
    <row r="288" spans="1:26" ht="15.75">
      <c r="A288" s="1"/>
      <c r="X288" s="3"/>
      <c r="Y288" s="3"/>
      <c r="Z288" s="50"/>
    </row>
    <row r="289" spans="1:26" ht="15.75">
      <c r="A289" s="1"/>
      <c r="X289" s="3"/>
      <c r="Y289" s="3"/>
      <c r="Z289" s="50"/>
    </row>
    <row r="290" spans="1:26" ht="15.75">
      <c r="A290" s="1"/>
      <c r="X290" s="3"/>
      <c r="Y290" s="3"/>
      <c r="Z290" s="50"/>
    </row>
    <row r="291" spans="1:26" ht="15.75">
      <c r="A291" s="1"/>
      <c r="X291" s="3"/>
      <c r="Y291" s="3"/>
      <c r="Z291" s="50"/>
    </row>
    <row r="292" spans="1:26" ht="15.75">
      <c r="A292" s="1"/>
      <c r="X292" s="3"/>
      <c r="Y292" s="3"/>
      <c r="Z292" s="50"/>
    </row>
    <row r="293" spans="1:26" ht="15.75">
      <c r="A293" s="1"/>
      <c r="X293" s="3"/>
      <c r="Y293" s="3"/>
      <c r="Z293" s="50"/>
    </row>
    <row r="294" spans="1:26" ht="15.75">
      <c r="A294" s="1"/>
      <c r="X294" s="3"/>
      <c r="Y294" s="3"/>
      <c r="Z294" s="50"/>
    </row>
    <row r="295" spans="1:26" ht="15.75">
      <c r="A295" s="1"/>
      <c r="X295" s="3"/>
      <c r="Y295" s="3"/>
      <c r="Z295" s="50"/>
    </row>
    <row r="296" spans="1:26" ht="15.75">
      <c r="A296" s="1"/>
      <c r="X296" s="3"/>
      <c r="Y296" s="3"/>
      <c r="Z296" s="50"/>
    </row>
    <row r="297" spans="1:26" ht="15.75">
      <c r="A297" s="1"/>
      <c r="X297" s="3"/>
      <c r="Y297" s="3"/>
      <c r="Z297" s="50"/>
    </row>
    <row r="298" spans="1:26" ht="15.75">
      <c r="A298" s="1"/>
      <c r="X298" s="3"/>
      <c r="Y298" s="3"/>
      <c r="Z298" s="50"/>
    </row>
    <row r="299" spans="1:26" ht="15.75">
      <c r="A299" s="1"/>
      <c r="X299" s="3"/>
      <c r="Y299" s="3"/>
      <c r="Z299" s="50"/>
    </row>
    <row r="300" spans="1:26" ht="15.75">
      <c r="A300" s="1"/>
      <c r="X300" s="3"/>
      <c r="Y300" s="3"/>
      <c r="Z300" s="50"/>
    </row>
    <row r="301" spans="1:26" ht="15.75">
      <c r="A301" s="1"/>
      <c r="X301" s="3"/>
      <c r="Y301" s="3"/>
      <c r="Z301" s="50"/>
    </row>
    <row r="302" spans="1:26" ht="15.75">
      <c r="A302" s="1"/>
      <c r="X302" s="3"/>
      <c r="Y302" s="3"/>
      <c r="Z302" s="50"/>
    </row>
    <row r="303" spans="1:26" ht="15.75">
      <c r="A303" s="1"/>
      <c r="X303" s="3"/>
      <c r="Y303" s="3"/>
      <c r="Z303" s="50"/>
    </row>
    <row r="304" spans="1:26" ht="15.75">
      <c r="A304" s="1"/>
      <c r="X304" s="3"/>
      <c r="Y304" s="3"/>
      <c r="Z304" s="50"/>
    </row>
    <row r="305" spans="1:26" ht="15.75">
      <c r="A305" s="1"/>
      <c r="X305" s="3"/>
      <c r="Y305" s="3"/>
      <c r="Z305" s="50"/>
    </row>
    <row r="306" spans="1:26" ht="15.75">
      <c r="A306" s="1"/>
      <c r="X306" s="3"/>
      <c r="Y306" s="3"/>
      <c r="Z306" s="50"/>
    </row>
    <row r="307" spans="1:26" ht="15.75">
      <c r="A307" s="1"/>
      <c r="X307" s="3"/>
      <c r="Y307" s="3"/>
      <c r="Z307" s="50"/>
    </row>
    <row r="308" spans="1:26" ht="15.75">
      <c r="A308" s="1"/>
      <c r="X308" s="3"/>
      <c r="Y308" s="3"/>
      <c r="Z308" s="50"/>
    </row>
    <row r="309" spans="1:26" ht="15.75">
      <c r="A309" s="1"/>
      <c r="X309" s="3"/>
      <c r="Y309" s="3"/>
      <c r="Z309" s="50"/>
    </row>
    <row r="310" spans="1:26" ht="15.75">
      <c r="A310" s="1"/>
      <c r="X310" s="3"/>
      <c r="Y310" s="3"/>
      <c r="Z310" s="50"/>
    </row>
    <row r="311" spans="1:26" ht="15.75">
      <c r="A311" s="1"/>
      <c r="X311" s="3"/>
      <c r="Y311" s="3"/>
      <c r="Z311" s="50"/>
    </row>
    <row r="312" spans="1:26" ht="15.75">
      <c r="A312" s="1"/>
      <c r="X312" s="3"/>
      <c r="Y312" s="3"/>
      <c r="Z312" s="50"/>
    </row>
    <row r="313" spans="1:26" ht="15.75">
      <c r="A313" s="1"/>
      <c r="X313" s="3"/>
      <c r="Y313" s="3"/>
      <c r="Z313" s="50"/>
    </row>
    <row r="314" spans="1:26" ht="15.75">
      <c r="A314" s="1"/>
      <c r="X314" s="3"/>
      <c r="Y314" s="3"/>
      <c r="Z314" s="50"/>
    </row>
    <row r="315" spans="1:26" ht="15.75">
      <c r="A315" s="1"/>
      <c r="X315" s="3"/>
      <c r="Y315" s="3"/>
      <c r="Z315" s="50"/>
    </row>
    <row r="316" spans="1:26" ht="15.75">
      <c r="A316" s="1"/>
      <c r="X316" s="3"/>
      <c r="Y316" s="3"/>
      <c r="Z316" s="50"/>
    </row>
    <row r="317" spans="1:26" ht="15.75">
      <c r="A317" s="1"/>
      <c r="X317" s="3"/>
      <c r="Y317" s="3"/>
      <c r="Z317" s="50"/>
    </row>
    <row r="318" spans="1:26" ht="15.75">
      <c r="A318" s="1"/>
      <c r="X318" s="3"/>
      <c r="Y318" s="3"/>
      <c r="Z318" s="50"/>
    </row>
    <row r="319" spans="1:26" ht="15.75">
      <c r="A319" s="1"/>
      <c r="X319" s="3"/>
      <c r="Y319" s="3"/>
      <c r="Z319" s="50"/>
    </row>
    <row r="320" spans="1:26" ht="15.75">
      <c r="A320" s="1"/>
      <c r="X320" s="3"/>
      <c r="Y320" s="3"/>
      <c r="Z320" s="50"/>
    </row>
    <row r="321" spans="1:26" ht="15.75">
      <c r="A321" s="1"/>
      <c r="X321" s="3"/>
      <c r="Y321" s="3"/>
      <c r="Z321" s="50"/>
    </row>
    <row r="322" spans="1:26" ht="15.75">
      <c r="A322" s="1"/>
      <c r="X322" s="3"/>
      <c r="Y322" s="3"/>
      <c r="Z322" s="50"/>
    </row>
    <row r="323" spans="1:26" ht="15.75">
      <c r="A323" s="1"/>
      <c r="X323" s="3"/>
      <c r="Y323" s="3"/>
      <c r="Z323" s="50"/>
    </row>
    <row r="324" spans="1:26" ht="15.75">
      <c r="A324" s="1"/>
      <c r="X324" s="3"/>
      <c r="Y324" s="3"/>
      <c r="Z324" s="50"/>
    </row>
    <row r="325" spans="1:26" ht="15.75">
      <c r="A325" s="1"/>
      <c r="X325" s="3"/>
      <c r="Y325" s="3"/>
      <c r="Z325" s="50"/>
    </row>
    <row r="326" spans="1:26" ht="15.75">
      <c r="A326" s="1"/>
      <c r="X326" s="3"/>
      <c r="Y326" s="3"/>
      <c r="Z326" s="50"/>
    </row>
    <row r="327" spans="1:26" ht="15.75">
      <c r="A327" s="1"/>
      <c r="X327" s="3"/>
      <c r="Y327" s="3"/>
      <c r="Z327" s="50"/>
    </row>
    <row r="328" spans="1:26" ht="15.75">
      <c r="A328" s="1"/>
      <c r="X328" s="3"/>
      <c r="Y328" s="3"/>
      <c r="Z328" s="50"/>
    </row>
    <row r="329" spans="1:26" ht="15.75">
      <c r="A329" s="1"/>
      <c r="X329" s="3"/>
      <c r="Y329" s="3"/>
      <c r="Z329" s="50"/>
    </row>
    <row r="330" spans="1:26" ht="15.75">
      <c r="A330" s="1"/>
      <c r="X330" s="3"/>
      <c r="Y330" s="3"/>
      <c r="Z330" s="50"/>
    </row>
    <row r="331" spans="1:26" ht="15.75">
      <c r="A331" s="1"/>
      <c r="X331" s="3"/>
      <c r="Y331" s="3"/>
      <c r="Z331" s="50"/>
    </row>
    <row r="332" spans="1:26" ht="15.75">
      <c r="A332" s="1"/>
      <c r="X332" s="3"/>
      <c r="Y332" s="3"/>
      <c r="Z332" s="50"/>
    </row>
    <row r="333" spans="1:26" ht="15.75">
      <c r="A333" s="1"/>
      <c r="X333" s="3"/>
      <c r="Y333" s="3"/>
      <c r="Z333" s="50"/>
    </row>
    <row r="334" spans="1:26" ht="15.75">
      <c r="A334" s="1"/>
      <c r="X334" s="3"/>
      <c r="Y334" s="3"/>
      <c r="Z334" s="50"/>
    </row>
    <row r="335" spans="1:26" ht="15.75">
      <c r="A335" s="1"/>
      <c r="X335" s="3"/>
      <c r="Y335" s="3"/>
      <c r="Z335" s="50"/>
    </row>
    <row r="336" spans="1:26" ht="15.75">
      <c r="A336" s="1"/>
      <c r="X336" s="3"/>
      <c r="Y336" s="3"/>
      <c r="Z336" s="50"/>
    </row>
    <row r="337" spans="1:26" ht="15.75">
      <c r="A337" s="1"/>
      <c r="X337" s="3"/>
      <c r="Y337" s="3"/>
      <c r="Z337" s="50"/>
    </row>
    <row r="338" spans="1:26" ht="15.75">
      <c r="A338" s="1"/>
      <c r="X338" s="3"/>
      <c r="Y338" s="3"/>
      <c r="Z338" s="50"/>
    </row>
    <row r="339" spans="1:26" ht="15.75">
      <c r="A339" s="1"/>
      <c r="X339" s="3"/>
      <c r="Y339" s="3"/>
      <c r="Z339" s="50"/>
    </row>
    <row r="340" spans="1:26" ht="15.75">
      <c r="A340" s="1"/>
      <c r="X340" s="3"/>
      <c r="Y340" s="3"/>
      <c r="Z340" s="50"/>
    </row>
    <row r="341" spans="1:26" ht="15.75">
      <c r="A341" s="1"/>
      <c r="X341" s="3"/>
      <c r="Y341" s="3"/>
      <c r="Z341" s="50"/>
    </row>
    <row r="342" spans="1:26" ht="15.75">
      <c r="A342" s="1"/>
      <c r="X342" s="3"/>
      <c r="Y342" s="3"/>
      <c r="Z342" s="50"/>
    </row>
    <row r="343" spans="1:26" ht="15.75">
      <c r="A343" s="1"/>
      <c r="X343" s="3"/>
      <c r="Y343" s="3"/>
      <c r="Z343" s="50"/>
    </row>
    <row r="344" spans="1:26" ht="15.75">
      <c r="A344" s="1"/>
      <c r="X344" s="3"/>
      <c r="Y344" s="3"/>
      <c r="Z344" s="50"/>
    </row>
    <row r="345" spans="1:26" ht="15.75">
      <c r="A345" s="1"/>
      <c r="X345" s="3"/>
      <c r="Y345" s="3"/>
      <c r="Z345" s="50"/>
    </row>
    <row r="346" spans="1:26" ht="15.75">
      <c r="A346" s="1"/>
      <c r="X346" s="3"/>
      <c r="Y346" s="3"/>
      <c r="Z346" s="50"/>
    </row>
    <row r="347" spans="1:26" ht="15.75">
      <c r="A347" s="1"/>
      <c r="X347" s="3"/>
      <c r="Y347" s="3"/>
      <c r="Z347" s="50"/>
    </row>
    <row r="348" spans="1:26" ht="15.75">
      <c r="A348" s="1"/>
      <c r="X348" s="3"/>
      <c r="Y348" s="3"/>
      <c r="Z348" s="50"/>
    </row>
    <row r="349" spans="1:26" ht="15.75">
      <c r="A349" s="1"/>
      <c r="X349" s="3"/>
      <c r="Y349" s="3"/>
      <c r="Z349" s="50"/>
    </row>
    <row r="350" spans="1:26" ht="15.75">
      <c r="A350" s="1"/>
      <c r="X350" s="3"/>
      <c r="Y350" s="3"/>
      <c r="Z350" s="50"/>
    </row>
    <row r="351" spans="1:26" ht="15.75">
      <c r="A351" s="1"/>
      <c r="X351" s="3"/>
      <c r="Y351" s="3"/>
      <c r="Z351" s="50"/>
    </row>
    <row r="352" spans="1:26" ht="15.75">
      <c r="A352" s="1"/>
      <c r="X352" s="3"/>
      <c r="Y352" s="3"/>
      <c r="Z352" s="50"/>
    </row>
    <row r="353" spans="1:26" ht="15.75">
      <c r="A353" s="1"/>
      <c r="X353" s="3"/>
      <c r="Y353" s="3"/>
      <c r="Z353" s="50"/>
    </row>
    <row r="354" spans="1:26" ht="15.75">
      <c r="A354" s="1"/>
      <c r="X354" s="3"/>
      <c r="Y354" s="3"/>
      <c r="Z354" s="50"/>
    </row>
    <row r="355" spans="1:26" ht="15.75">
      <c r="A355" s="1"/>
      <c r="X355" s="3"/>
      <c r="Y355" s="3"/>
      <c r="Z355" s="50"/>
    </row>
    <row r="356" spans="1:26" ht="15.75">
      <c r="A356" s="1"/>
      <c r="X356" s="3"/>
      <c r="Y356" s="3"/>
      <c r="Z356" s="50"/>
    </row>
    <row r="357" spans="1:26" ht="15.75">
      <c r="A357" s="1"/>
      <c r="X357" s="3"/>
      <c r="Y357" s="3"/>
      <c r="Z357" s="50"/>
    </row>
    <row r="358" spans="1:26" ht="15.75">
      <c r="A358" s="1"/>
      <c r="X358" s="3"/>
      <c r="Y358" s="3"/>
      <c r="Z358" s="50"/>
    </row>
    <row r="359" spans="1:26" ht="15.75">
      <c r="A359" s="1"/>
      <c r="X359" s="3"/>
      <c r="Y359" s="3"/>
      <c r="Z359" s="50"/>
    </row>
    <row r="360" spans="1:26" ht="15.75">
      <c r="A360" s="1"/>
      <c r="X360" s="3"/>
      <c r="Y360" s="3"/>
      <c r="Z360" s="50"/>
    </row>
    <row r="361" spans="1:26" ht="15.75">
      <c r="A361" s="1"/>
      <c r="X361" s="3"/>
      <c r="Y361" s="3"/>
      <c r="Z361" s="50"/>
    </row>
    <row r="362" spans="1:26" ht="15.75">
      <c r="A362" s="1"/>
      <c r="X362" s="3"/>
      <c r="Y362" s="3"/>
      <c r="Z362" s="50"/>
    </row>
    <row r="363" spans="1:26" ht="15.75">
      <c r="A363" s="1"/>
      <c r="X363" s="3"/>
      <c r="Y363" s="3"/>
      <c r="Z363" s="50"/>
    </row>
    <row r="364" spans="1:26" ht="15.75">
      <c r="A364" s="1"/>
      <c r="X364" s="3"/>
      <c r="Y364" s="3"/>
      <c r="Z364" s="50"/>
    </row>
    <row r="365" spans="1:26" ht="15.75">
      <c r="A365" s="1"/>
      <c r="X365" s="3"/>
      <c r="Y365" s="3"/>
      <c r="Z365" s="50"/>
    </row>
    <row r="366" spans="1:26" ht="15.75">
      <c r="A366" s="1"/>
      <c r="X366" s="3"/>
      <c r="Y366" s="3"/>
      <c r="Z366" s="50"/>
    </row>
    <row r="367" spans="1:26" ht="15.75">
      <c r="A367" s="1"/>
      <c r="X367" s="3"/>
      <c r="Y367" s="3"/>
      <c r="Z367" s="50"/>
    </row>
    <row r="368" spans="1:26" ht="15.75">
      <c r="A368" s="1"/>
      <c r="X368" s="3"/>
      <c r="Y368" s="3"/>
      <c r="Z368" s="50"/>
    </row>
    <row r="369" spans="1:26" ht="15.75">
      <c r="A369" s="1"/>
      <c r="X369" s="3"/>
      <c r="Y369" s="3"/>
      <c r="Z369" s="50"/>
    </row>
    <row r="370" spans="1:26" ht="15.75">
      <c r="A370" s="1"/>
      <c r="X370" s="3"/>
      <c r="Y370" s="3"/>
      <c r="Z370" s="50"/>
    </row>
    <row r="371" spans="1:26" ht="15.75">
      <c r="A371" s="1"/>
      <c r="X371" s="3"/>
      <c r="Y371" s="3"/>
      <c r="Z371" s="50"/>
    </row>
    <row r="372" spans="1:26" ht="15.75">
      <c r="A372" s="1"/>
      <c r="X372" s="3"/>
      <c r="Y372" s="3"/>
      <c r="Z372" s="50"/>
    </row>
    <row r="373" spans="1:26" ht="15.75">
      <c r="A373" s="1"/>
      <c r="X373" s="3"/>
      <c r="Y373" s="3"/>
      <c r="Z373" s="50"/>
    </row>
    <row r="374" spans="1:26" ht="15.75">
      <c r="A374" s="1"/>
      <c r="X374" s="3"/>
      <c r="Y374" s="3"/>
      <c r="Z374" s="50"/>
    </row>
    <row r="375" spans="1:26" ht="15.75">
      <c r="A375" s="1"/>
      <c r="X375" s="3"/>
      <c r="Y375" s="3"/>
      <c r="Z375" s="50"/>
    </row>
    <row r="376" spans="1:26" ht="15.75">
      <c r="A376" s="1"/>
      <c r="X376" s="3"/>
      <c r="Y376" s="3"/>
      <c r="Z376" s="50"/>
    </row>
    <row r="377" spans="1:26" ht="15.75">
      <c r="A377" s="1"/>
      <c r="X377" s="3"/>
      <c r="Y377" s="3"/>
      <c r="Z377" s="50"/>
    </row>
    <row r="378" spans="1:26" ht="15.75">
      <c r="A378" s="1"/>
      <c r="X378" s="3"/>
      <c r="Y378" s="3"/>
      <c r="Z378" s="50"/>
    </row>
    <row r="379" spans="1:26" ht="15.75">
      <c r="A379" s="1"/>
      <c r="X379" s="3"/>
      <c r="Y379" s="3"/>
      <c r="Z379" s="50"/>
    </row>
    <row r="380" spans="1:26" ht="15.75">
      <c r="A380" s="1"/>
      <c r="X380" s="3"/>
      <c r="Y380" s="3"/>
      <c r="Z380" s="50"/>
    </row>
    <row r="381" spans="1:26" ht="15.75">
      <c r="A381" s="1"/>
      <c r="X381" s="3"/>
      <c r="Y381" s="3"/>
      <c r="Z381" s="50"/>
    </row>
    <row r="382" spans="1:26" ht="15.75">
      <c r="A382" s="1"/>
      <c r="X382" s="3"/>
      <c r="Y382" s="3"/>
      <c r="Z382" s="50"/>
    </row>
    <row r="383" spans="1:26" ht="15.75">
      <c r="A383" s="1"/>
      <c r="X383" s="3"/>
      <c r="Y383" s="3"/>
      <c r="Z383" s="50"/>
    </row>
    <row r="384" spans="1:26" ht="15.75">
      <c r="A384" s="1"/>
      <c r="X384" s="3"/>
      <c r="Y384" s="3"/>
      <c r="Z384" s="50"/>
    </row>
    <row r="385" spans="1:26" ht="15.75">
      <c r="A385" s="1"/>
      <c r="X385" s="3"/>
      <c r="Y385" s="3"/>
      <c r="Z385" s="50"/>
    </row>
    <row r="386" spans="1:26" ht="15.75">
      <c r="A386" s="1"/>
      <c r="X386" s="3"/>
      <c r="Y386" s="3"/>
      <c r="Z386" s="50"/>
    </row>
    <row r="387" spans="1:26" ht="15.75">
      <c r="A387" s="1"/>
      <c r="X387" s="3"/>
      <c r="Y387" s="3"/>
      <c r="Z387" s="50"/>
    </row>
    <row r="388" spans="1:26" ht="15.75">
      <c r="A388" s="1"/>
      <c r="X388" s="3"/>
      <c r="Y388" s="3"/>
      <c r="Z388" s="50"/>
    </row>
    <row r="389" spans="1:26" ht="15.75">
      <c r="A389" s="1"/>
      <c r="X389" s="3"/>
      <c r="Y389" s="3"/>
      <c r="Z389" s="50"/>
    </row>
    <row r="390" spans="1:26" ht="15.75">
      <c r="A390" s="1"/>
      <c r="X390" s="3"/>
      <c r="Y390" s="3"/>
      <c r="Z390" s="50"/>
    </row>
    <row r="391" spans="1:26" ht="15.75">
      <c r="A391" s="1"/>
      <c r="X391" s="3"/>
      <c r="Y391" s="3"/>
      <c r="Z391" s="50"/>
    </row>
    <row r="392" spans="1:26" ht="15.75">
      <c r="A392" s="1"/>
      <c r="X392" s="3"/>
      <c r="Y392" s="3"/>
      <c r="Z392" s="50"/>
    </row>
    <row r="393" spans="1:26" ht="15.75">
      <c r="A393" s="1"/>
      <c r="X393" s="3"/>
      <c r="Y393" s="3"/>
      <c r="Z393" s="50"/>
    </row>
    <row r="394" spans="1:26" ht="15.75">
      <c r="A394" s="1"/>
      <c r="X394" s="3"/>
      <c r="Y394" s="3"/>
      <c r="Z394" s="50"/>
    </row>
    <row r="395" spans="1:26" ht="15.75">
      <c r="A395" s="1"/>
      <c r="X395" s="3"/>
      <c r="Y395" s="3"/>
      <c r="Z395" s="50"/>
    </row>
    <row r="396" spans="1:26" ht="15.75">
      <c r="A396" s="1"/>
      <c r="X396" s="3"/>
      <c r="Y396" s="3"/>
      <c r="Z396" s="50"/>
    </row>
    <row r="397" spans="1:26" ht="15.75">
      <c r="A397" s="1"/>
      <c r="X397" s="3"/>
      <c r="Y397" s="3"/>
      <c r="Z397" s="50"/>
    </row>
    <row r="398" spans="1:26" ht="15.75">
      <c r="A398" s="1"/>
      <c r="X398" s="3"/>
      <c r="Y398" s="3"/>
      <c r="Z398" s="50"/>
    </row>
    <row r="399" spans="1:26" ht="15.75">
      <c r="A399" s="1"/>
      <c r="X399" s="3"/>
      <c r="Y399" s="3"/>
      <c r="Z399" s="50"/>
    </row>
    <row r="400" spans="1:26" ht="15.75">
      <c r="A400" s="1"/>
      <c r="X400" s="3"/>
      <c r="Y400" s="3"/>
      <c r="Z400" s="50"/>
    </row>
    <row r="401" spans="1:26" ht="15.75">
      <c r="A401" s="1"/>
      <c r="X401" s="3"/>
      <c r="Y401" s="3"/>
      <c r="Z401" s="50"/>
    </row>
    <row r="402" spans="1:26" ht="15.75">
      <c r="A402" s="1"/>
      <c r="X402" s="3"/>
      <c r="Y402" s="3"/>
      <c r="Z402" s="50"/>
    </row>
    <row r="403" spans="1:26" ht="15.75">
      <c r="A403" s="1"/>
      <c r="X403" s="3"/>
      <c r="Y403" s="3"/>
      <c r="Z403" s="50"/>
    </row>
    <row r="404" spans="1:26" ht="15.75">
      <c r="A404" s="1"/>
      <c r="X404" s="3"/>
      <c r="Y404" s="3"/>
      <c r="Z404" s="50"/>
    </row>
    <row r="405" spans="1:26" ht="15.75">
      <c r="A405" s="1"/>
      <c r="X405" s="3"/>
      <c r="Y405" s="3"/>
      <c r="Z405" s="50"/>
    </row>
    <row r="406" spans="1:26" ht="15.75">
      <c r="A406" s="1"/>
      <c r="X406" s="3"/>
      <c r="Y406" s="3"/>
      <c r="Z406" s="50"/>
    </row>
    <row r="407" spans="1:26" ht="15.75">
      <c r="A407" s="1"/>
      <c r="X407" s="3"/>
      <c r="Y407" s="3"/>
      <c r="Z407" s="50"/>
    </row>
    <row r="408" spans="1:26" ht="15.75">
      <c r="A408" s="1"/>
      <c r="X408" s="3"/>
      <c r="Y408" s="3"/>
      <c r="Z408" s="50"/>
    </row>
    <row r="409" spans="1:26" ht="15.75">
      <c r="A409" s="1"/>
      <c r="X409" s="3"/>
      <c r="Y409" s="3"/>
      <c r="Z409" s="50"/>
    </row>
    <row r="410" spans="1:26" ht="15.75">
      <c r="A410" s="1"/>
      <c r="X410" s="3"/>
      <c r="Y410" s="3"/>
      <c r="Z410" s="50"/>
    </row>
    <row r="411" spans="1:26" ht="15.75">
      <c r="A411" s="1"/>
      <c r="X411" s="3"/>
      <c r="Y411" s="3"/>
      <c r="Z411" s="50"/>
    </row>
    <row r="412" spans="1:26" ht="15.75">
      <c r="A412" s="1"/>
      <c r="X412" s="3"/>
      <c r="Y412" s="3"/>
      <c r="Z412" s="50"/>
    </row>
    <row r="413" spans="1:26" ht="15.75">
      <c r="A413" s="1"/>
      <c r="X413" s="3"/>
      <c r="Y413" s="3"/>
      <c r="Z413" s="50"/>
    </row>
    <row r="414" spans="1:26" ht="15.75">
      <c r="A414" s="1"/>
      <c r="X414" s="3"/>
      <c r="Y414" s="3"/>
      <c r="Z414" s="50"/>
    </row>
    <row r="415" spans="1:26" ht="15.75">
      <c r="A415" s="1"/>
      <c r="X415" s="3"/>
      <c r="Y415" s="3"/>
      <c r="Z415" s="50"/>
    </row>
    <row r="416" spans="1:26" ht="15.75">
      <c r="A416" s="1"/>
      <c r="X416" s="3"/>
      <c r="Y416" s="3"/>
      <c r="Z416" s="50"/>
    </row>
    <row r="417" spans="1:26" ht="15.75">
      <c r="A417" s="1"/>
      <c r="X417" s="3"/>
      <c r="Y417" s="3"/>
      <c r="Z417" s="50"/>
    </row>
    <row r="418" spans="1:26" ht="15.75">
      <c r="A418" s="1"/>
      <c r="X418" s="3"/>
      <c r="Y418" s="3"/>
      <c r="Z418" s="50"/>
    </row>
    <row r="419" spans="1:26" ht="15.75">
      <c r="A419" s="1"/>
      <c r="X419" s="3"/>
      <c r="Y419" s="3"/>
      <c r="Z419" s="50"/>
    </row>
    <row r="420" spans="1:26" ht="15.75">
      <c r="A420" s="1"/>
      <c r="X420" s="3"/>
      <c r="Y420" s="3"/>
      <c r="Z420" s="50"/>
    </row>
    <row r="421" spans="1:26" ht="15.75">
      <c r="A421" s="1"/>
      <c r="X421" s="3"/>
      <c r="Y421" s="3"/>
      <c r="Z421" s="50"/>
    </row>
    <row r="422" spans="1:26" ht="15.75">
      <c r="A422" s="1"/>
      <c r="X422" s="3"/>
      <c r="Y422" s="3"/>
      <c r="Z422" s="50"/>
    </row>
    <row r="423" spans="1:26" ht="15.75">
      <c r="A423" s="1"/>
      <c r="X423" s="3"/>
      <c r="Y423" s="3"/>
      <c r="Z423" s="50"/>
    </row>
    <row r="424" spans="1:26" ht="15.75">
      <c r="A424" s="1"/>
      <c r="X424" s="3"/>
      <c r="Y424" s="3"/>
      <c r="Z424" s="50"/>
    </row>
    <row r="425" spans="1:26" ht="15.75">
      <c r="A425" s="1"/>
      <c r="X425" s="3"/>
      <c r="Y425" s="3"/>
      <c r="Z425" s="50"/>
    </row>
    <row r="426" spans="1:26" ht="15.75">
      <c r="A426" s="1"/>
      <c r="X426" s="3"/>
      <c r="Y426" s="3"/>
      <c r="Z426" s="50"/>
    </row>
    <row r="427" spans="1:26" ht="15.75">
      <c r="A427" s="1"/>
      <c r="X427" s="3"/>
      <c r="Y427" s="3"/>
      <c r="Z427" s="50"/>
    </row>
    <row r="428" spans="1:26" ht="15.75">
      <c r="A428" s="1"/>
      <c r="X428" s="3"/>
      <c r="Y428" s="3"/>
      <c r="Z428" s="50"/>
    </row>
    <row r="429" spans="1:26" ht="15.75">
      <c r="A429" s="1"/>
      <c r="X429" s="3"/>
      <c r="Y429" s="3"/>
      <c r="Z429" s="50"/>
    </row>
    <row r="430" spans="1:26" ht="15.75">
      <c r="A430" s="1"/>
      <c r="X430" s="3"/>
      <c r="Y430" s="3"/>
      <c r="Z430" s="50"/>
    </row>
    <row r="431" spans="1:26" ht="15.75">
      <c r="A431" s="1"/>
      <c r="X431" s="3"/>
      <c r="Y431" s="3"/>
      <c r="Z431" s="50"/>
    </row>
    <row r="432" spans="1:26" ht="15.75">
      <c r="A432" s="1"/>
      <c r="X432" s="3"/>
      <c r="Y432" s="3"/>
      <c r="Z432" s="50"/>
    </row>
    <row r="433" spans="1:26" ht="15.75">
      <c r="A433" s="1"/>
      <c r="X433" s="3"/>
      <c r="Y433" s="3"/>
      <c r="Z433" s="50"/>
    </row>
    <row r="434" spans="1:26" ht="15.75">
      <c r="A434" s="1"/>
      <c r="X434" s="3"/>
      <c r="Y434" s="3"/>
      <c r="Z434" s="50"/>
    </row>
    <row r="435" spans="1:26" ht="15.75">
      <c r="A435" s="1"/>
      <c r="X435" s="3"/>
      <c r="Y435" s="3"/>
      <c r="Z435" s="50"/>
    </row>
    <row r="436" spans="1:26" ht="15.75">
      <c r="A436" s="1"/>
      <c r="X436" s="3"/>
      <c r="Y436" s="3"/>
      <c r="Z436" s="50"/>
    </row>
    <row r="437" spans="1:26" ht="15.75">
      <c r="A437" s="1"/>
      <c r="X437" s="3"/>
      <c r="Y437" s="3"/>
      <c r="Z437" s="50"/>
    </row>
    <row r="438" spans="1:26" ht="15.75">
      <c r="A438" s="1"/>
      <c r="X438" s="3"/>
      <c r="Y438" s="3"/>
      <c r="Z438" s="50"/>
    </row>
    <row r="439" spans="1:26" ht="15.75">
      <c r="A439" s="1"/>
      <c r="X439" s="3"/>
      <c r="Y439" s="3"/>
      <c r="Z439" s="50"/>
    </row>
    <row r="440" spans="1:26" ht="15.75">
      <c r="A440" s="1"/>
      <c r="X440" s="3"/>
      <c r="Y440" s="3"/>
      <c r="Z440" s="50"/>
    </row>
    <row r="441" spans="1:26" ht="15.75">
      <c r="A441" s="1"/>
      <c r="X441" s="3"/>
      <c r="Y441" s="3"/>
      <c r="Z441" s="50"/>
    </row>
    <row r="442" spans="1:26" ht="15.75">
      <c r="A442" s="1"/>
      <c r="X442" s="3"/>
      <c r="Y442" s="3"/>
      <c r="Z442" s="50"/>
    </row>
    <row r="443" spans="1:26" ht="15.75">
      <c r="A443" s="1"/>
      <c r="X443" s="3"/>
      <c r="Y443" s="3"/>
      <c r="Z443" s="50"/>
    </row>
    <row r="444" spans="1:26" ht="15.75">
      <c r="A444" s="1"/>
      <c r="X444" s="3"/>
      <c r="Y444" s="3"/>
      <c r="Z444" s="50"/>
    </row>
    <row r="445" spans="1:26" ht="15.75">
      <c r="A445" s="1"/>
      <c r="X445" s="3"/>
      <c r="Y445" s="3"/>
      <c r="Z445" s="50"/>
    </row>
    <row r="446" spans="1:26" ht="15.75">
      <c r="A446" s="1"/>
      <c r="X446" s="3"/>
      <c r="Y446" s="3"/>
      <c r="Z446" s="50"/>
    </row>
    <row r="447" spans="1:26" ht="15.75">
      <c r="A447" s="1"/>
      <c r="X447" s="3"/>
      <c r="Y447" s="3"/>
      <c r="Z447" s="50"/>
    </row>
    <row r="448" spans="1:26" ht="15.75">
      <c r="A448" s="1"/>
      <c r="X448" s="3"/>
      <c r="Y448" s="3"/>
      <c r="Z448" s="50"/>
    </row>
    <row r="449" spans="1:26" ht="15.75">
      <c r="A449" s="1"/>
      <c r="X449" s="3"/>
      <c r="Y449" s="3"/>
      <c r="Z449" s="50"/>
    </row>
    <row r="450" spans="1:26" ht="15.75">
      <c r="A450" s="1"/>
      <c r="X450" s="3"/>
      <c r="Y450" s="3"/>
      <c r="Z450" s="50"/>
    </row>
    <row r="451" spans="1:26" ht="15.75">
      <c r="A451" s="1"/>
      <c r="X451" s="3"/>
      <c r="Y451" s="3"/>
      <c r="Z451" s="50"/>
    </row>
    <row r="452" spans="1:26" ht="15.75">
      <c r="A452" s="1"/>
      <c r="X452" s="3"/>
      <c r="Y452" s="3"/>
      <c r="Z452" s="50"/>
    </row>
    <row r="453" spans="1:26" ht="15.75">
      <c r="A453" s="1"/>
      <c r="X453" s="3"/>
      <c r="Y453" s="3"/>
      <c r="Z453" s="50"/>
    </row>
    <row r="454" spans="1:26" ht="15.75">
      <c r="A454" s="1"/>
      <c r="X454" s="3"/>
      <c r="Y454" s="3"/>
      <c r="Z454" s="50"/>
    </row>
    <row r="455" spans="1:26" ht="15.75">
      <c r="A455" s="1"/>
      <c r="X455" s="3"/>
      <c r="Y455" s="3"/>
      <c r="Z455" s="50"/>
    </row>
    <row r="456" spans="1:26" ht="15.75">
      <c r="A456" s="1"/>
      <c r="X456" s="3"/>
      <c r="Y456" s="3"/>
      <c r="Z456" s="50"/>
    </row>
    <row r="457" spans="1:26" ht="15.75">
      <c r="A457" s="1"/>
      <c r="X457" s="3"/>
      <c r="Y457" s="3"/>
      <c r="Z457" s="50"/>
    </row>
    <row r="458" spans="1:26" ht="15.75">
      <c r="A458" s="1"/>
      <c r="X458" s="3"/>
      <c r="Y458" s="3"/>
      <c r="Z458" s="50"/>
    </row>
    <row r="459" spans="1:26" ht="15.75">
      <c r="A459" s="1"/>
      <c r="X459" s="3"/>
      <c r="Y459" s="3"/>
      <c r="Z459" s="50"/>
    </row>
    <row r="460" spans="1:26" ht="15.75">
      <c r="A460" s="1"/>
      <c r="X460" s="3"/>
      <c r="Y460" s="3"/>
      <c r="Z460" s="50"/>
    </row>
    <row r="461" spans="1:26" ht="15.75">
      <c r="A461" s="1"/>
      <c r="X461" s="3"/>
      <c r="Y461" s="3"/>
      <c r="Z461" s="50"/>
    </row>
    <row r="462" spans="1:26" ht="15.75">
      <c r="A462" s="1"/>
      <c r="X462" s="3"/>
      <c r="Y462" s="3"/>
      <c r="Z462" s="50"/>
    </row>
    <row r="463" spans="1:26" ht="15.75">
      <c r="A463" s="1"/>
      <c r="X463" s="3"/>
      <c r="Y463" s="3"/>
      <c r="Z463" s="50"/>
    </row>
    <row r="464" spans="1:26" ht="15.75">
      <c r="A464" s="1"/>
      <c r="X464" s="3"/>
      <c r="Y464" s="3"/>
      <c r="Z464" s="50"/>
    </row>
    <row r="465" spans="1:26" ht="15.75">
      <c r="A465" s="1"/>
      <c r="X465" s="3"/>
      <c r="Y465" s="3"/>
      <c r="Z465" s="50"/>
    </row>
    <row r="466" spans="1:26" ht="15.75">
      <c r="A466" s="1"/>
      <c r="X466" s="3"/>
      <c r="Y466" s="3"/>
      <c r="Z466" s="50"/>
    </row>
    <row r="467" spans="1:26" ht="15.75">
      <c r="A467" s="1"/>
      <c r="X467" s="3"/>
      <c r="Y467" s="3"/>
      <c r="Z467" s="50"/>
    </row>
    <row r="468" spans="1:26" ht="15.75">
      <c r="A468" s="1"/>
      <c r="X468" s="3"/>
      <c r="Y468" s="3"/>
      <c r="Z468" s="50"/>
    </row>
    <row r="469" spans="1:26" ht="15.75">
      <c r="A469" s="1"/>
      <c r="X469" s="3"/>
      <c r="Y469" s="3"/>
      <c r="Z469" s="50"/>
    </row>
    <row r="470" spans="1:26" ht="15.75">
      <c r="A470" s="1"/>
      <c r="X470" s="3"/>
      <c r="Y470" s="3"/>
      <c r="Z470" s="50"/>
    </row>
    <row r="471" spans="1:26" ht="15.75">
      <c r="A471" s="1"/>
      <c r="X471" s="3"/>
      <c r="Y471" s="3"/>
      <c r="Z471" s="50"/>
    </row>
    <row r="472" spans="1:26" ht="15.75">
      <c r="A472" s="1"/>
      <c r="X472" s="3"/>
      <c r="Y472" s="3"/>
      <c r="Z472" s="50"/>
    </row>
    <row r="473" spans="1:26" ht="15.75">
      <c r="A473" s="1"/>
      <c r="X473" s="3"/>
      <c r="Y473" s="3"/>
      <c r="Z473" s="50"/>
    </row>
    <row r="474" spans="1:26" ht="15.75">
      <c r="A474" s="1"/>
      <c r="X474" s="3"/>
      <c r="Y474" s="3"/>
      <c r="Z474" s="50"/>
    </row>
    <row r="475" spans="1:26" ht="15.75">
      <c r="A475" s="1"/>
      <c r="X475" s="3"/>
      <c r="Y475" s="3"/>
      <c r="Z475" s="50"/>
    </row>
    <row r="476" spans="1:26" ht="15.75">
      <c r="A476" s="1"/>
      <c r="X476" s="3"/>
      <c r="Y476" s="3"/>
      <c r="Z476" s="50"/>
    </row>
    <row r="477" spans="1:26" ht="15.75">
      <c r="A477" s="1"/>
      <c r="X477" s="3"/>
      <c r="Y477" s="3"/>
      <c r="Z477" s="50"/>
    </row>
    <row r="478" spans="1:26" ht="15.75">
      <c r="A478" s="1"/>
      <c r="X478" s="3"/>
      <c r="Y478" s="3"/>
      <c r="Z478" s="50"/>
    </row>
    <row r="479" spans="1:26" ht="15.75">
      <c r="A479" s="1"/>
      <c r="X479" s="3"/>
      <c r="Y479" s="3"/>
      <c r="Z479" s="50"/>
    </row>
    <row r="480" spans="1:26" ht="15.75">
      <c r="A480" s="1"/>
      <c r="X480" s="3"/>
      <c r="Y480" s="3"/>
      <c r="Z480" s="50"/>
    </row>
    <row r="481" spans="1:26" ht="15.75">
      <c r="A481" s="1"/>
      <c r="X481" s="3"/>
      <c r="Y481" s="3"/>
      <c r="Z481" s="50"/>
    </row>
    <row r="482" spans="1:26" ht="15.75">
      <c r="A482" s="1"/>
      <c r="X482" s="3"/>
      <c r="Y482" s="3"/>
      <c r="Z482" s="50"/>
    </row>
    <row r="483" spans="1:26" ht="15.75">
      <c r="A483" s="1"/>
      <c r="X483" s="3"/>
      <c r="Y483" s="3"/>
      <c r="Z483" s="50"/>
    </row>
    <row r="484" spans="1:26" ht="15.75">
      <c r="A484" s="1"/>
      <c r="X484" s="3"/>
      <c r="Y484" s="3"/>
      <c r="Z484" s="50"/>
    </row>
    <row r="485" spans="1:26" ht="15.75">
      <c r="A485" s="1"/>
      <c r="X485" s="3"/>
      <c r="Y485" s="3"/>
      <c r="Z485" s="50"/>
    </row>
    <row r="486" spans="1:26" ht="15.75">
      <c r="A486" s="1"/>
      <c r="X486" s="3"/>
      <c r="Y486" s="3"/>
      <c r="Z486" s="50"/>
    </row>
    <row r="487" spans="1:26" ht="15.75">
      <c r="A487" s="1"/>
      <c r="X487" s="3"/>
      <c r="Y487" s="3"/>
      <c r="Z487" s="50"/>
    </row>
    <row r="488" spans="1:26" ht="15.75">
      <c r="A488" s="1"/>
      <c r="X488" s="3"/>
      <c r="Y488" s="3"/>
      <c r="Z488" s="50"/>
    </row>
    <row r="489" spans="1:26" ht="15.75">
      <c r="A489" s="1"/>
      <c r="X489" s="3"/>
      <c r="Y489" s="3"/>
      <c r="Z489" s="50"/>
    </row>
    <row r="490" spans="1:26" ht="15.75">
      <c r="A490" s="1"/>
      <c r="X490" s="3"/>
      <c r="Y490" s="3"/>
      <c r="Z490" s="50"/>
    </row>
    <row r="491" spans="1:26" ht="15.75">
      <c r="A491" s="1"/>
      <c r="X491" s="3"/>
      <c r="Y491" s="3"/>
      <c r="Z491" s="50"/>
    </row>
    <row r="492" spans="1:26" ht="15.75">
      <c r="A492" s="1"/>
      <c r="X492" s="3"/>
      <c r="Y492" s="3"/>
      <c r="Z492" s="50"/>
    </row>
    <row r="493" spans="1:26" ht="15.75">
      <c r="A493" s="1"/>
      <c r="X493" s="3"/>
      <c r="Y493" s="3"/>
      <c r="Z493" s="50"/>
    </row>
    <row r="494" spans="1:26" ht="15.75">
      <c r="A494" s="1"/>
      <c r="X494" s="3"/>
      <c r="Y494" s="3"/>
      <c r="Z494" s="50"/>
    </row>
    <row r="495" spans="1:26" ht="15.75">
      <c r="A495" s="1"/>
      <c r="X495" s="3"/>
      <c r="Y495" s="3"/>
      <c r="Z495" s="50"/>
    </row>
    <row r="496" spans="1:26" ht="15.75">
      <c r="A496" s="1"/>
      <c r="X496" s="3"/>
      <c r="Y496" s="3"/>
      <c r="Z496" s="50"/>
    </row>
    <row r="497" spans="1:26" ht="15.75">
      <c r="A497" s="1"/>
      <c r="X497" s="3"/>
      <c r="Y497" s="3"/>
      <c r="Z497" s="50"/>
    </row>
    <row r="498" spans="1:26" ht="15.75">
      <c r="A498" s="1"/>
      <c r="X498" s="3"/>
      <c r="Y498" s="3"/>
      <c r="Z498" s="50"/>
    </row>
    <row r="499" spans="1:26" ht="15.75">
      <c r="A499" s="1"/>
      <c r="X499" s="3"/>
      <c r="Y499" s="3"/>
      <c r="Z499" s="50"/>
    </row>
    <row r="500" spans="1:26" ht="15.75">
      <c r="A500" s="1"/>
      <c r="X500" s="3"/>
      <c r="Y500" s="3"/>
      <c r="Z500" s="50"/>
    </row>
    <row r="501" spans="1:26" ht="15.75">
      <c r="A501" s="1"/>
      <c r="X501" s="3"/>
      <c r="Y501" s="3"/>
      <c r="Z501" s="50"/>
    </row>
    <row r="502" spans="1:26" ht="15.75">
      <c r="A502" s="1"/>
      <c r="X502" s="3"/>
      <c r="Y502" s="3"/>
      <c r="Z502" s="50"/>
    </row>
    <row r="503" spans="1:26" ht="15.75">
      <c r="A503" s="1"/>
      <c r="X503" s="3"/>
      <c r="Y503" s="3"/>
      <c r="Z503" s="50"/>
    </row>
    <row r="504" spans="1:26" ht="15.75">
      <c r="A504" s="1"/>
      <c r="X504" s="3"/>
      <c r="Y504" s="3"/>
      <c r="Z504" s="50"/>
    </row>
    <row r="505" spans="1:26" ht="15.75">
      <c r="A505" s="1"/>
      <c r="X505" s="3"/>
      <c r="Y505" s="3"/>
      <c r="Z505" s="50"/>
    </row>
    <row r="506" spans="1:26" ht="15.75">
      <c r="A506" s="1"/>
      <c r="X506" s="3"/>
      <c r="Y506" s="3"/>
      <c r="Z506" s="50"/>
    </row>
    <row r="507" spans="1:26" ht="15.75">
      <c r="A507" s="1"/>
      <c r="X507" s="3"/>
      <c r="Y507" s="3"/>
      <c r="Z507" s="50"/>
    </row>
    <row r="508" spans="1:26" ht="15.75">
      <c r="A508" s="1"/>
      <c r="X508" s="3"/>
      <c r="Y508" s="3"/>
      <c r="Z508" s="50"/>
    </row>
    <row r="509" spans="1:26" ht="15.75">
      <c r="A509" s="1"/>
      <c r="X509" s="3"/>
      <c r="Y509" s="3"/>
      <c r="Z509" s="50"/>
    </row>
    <row r="510" spans="1:26" ht="15.75">
      <c r="A510" s="1"/>
      <c r="X510" s="3"/>
      <c r="Y510" s="3"/>
      <c r="Z510" s="50"/>
    </row>
    <row r="511" spans="1:26" ht="15.75">
      <c r="A511" s="1"/>
      <c r="X511" s="3"/>
      <c r="Y511" s="3"/>
      <c r="Z511" s="50"/>
    </row>
    <row r="512" spans="1:26" ht="15.75">
      <c r="A512" s="1"/>
      <c r="X512" s="3"/>
      <c r="Y512" s="3"/>
      <c r="Z512" s="50"/>
    </row>
    <row r="513" spans="1:26" ht="15.75">
      <c r="A513" s="1"/>
      <c r="X513" s="3"/>
      <c r="Y513" s="3"/>
      <c r="Z513" s="50"/>
    </row>
    <row r="514" spans="1:26" ht="15.75">
      <c r="A514" s="1"/>
      <c r="X514" s="3"/>
      <c r="Y514" s="3"/>
      <c r="Z514" s="50"/>
    </row>
    <row r="515" spans="1:26" ht="15.75">
      <c r="A515" s="1"/>
      <c r="X515" s="3"/>
      <c r="Y515" s="3"/>
      <c r="Z515" s="50"/>
    </row>
    <row r="516" spans="1:26" ht="15.75">
      <c r="A516" s="1"/>
      <c r="X516" s="3"/>
      <c r="Y516" s="3"/>
      <c r="Z516" s="50"/>
    </row>
    <row r="517" spans="1:26" ht="15.75">
      <c r="A517" s="1"/>
      <c r="X517" s="3"/>
      <c r="Y517" s="3"/>
      <c r="Z517" s="50"/>
    </row>
    <row r="518" spans="1:26" ht="15.75">
      <c r="A518" s="1"/>
      <c r="X518" s="3"/>
      <c r="Y518" s="3"/>
      <c r="Z518" s="50"/>
    </row>
    <row r="519" spans="1:26" ht="15.75">
      <c r="A519" s="1"/>
      <c r="X519" s="3"/>
      <c r="Y519" s="3"/>
      <c r="Z519" s="50"/>
    </row>
    <row r="520" spans="1:26" ht="15.75">
      <c r="A520" s="1"/>
      <c r="X520" s="3"/>
      <c r="Y520" s="3"/>
      <c r="Z520" s="50"/>
    </row>
    <row r="521" spans="1:26" ht="15.75">
      <c r="A521" s="1"/>
      <c r="X521" s="3"/>
      <c r="Y521" s="3"/>
      <c r="Z521" s="50"/>
    </row>
    <row r="522" spans="1:26" ht="15.75">
      <c r="A522" s="1"/>
      <c r="X522" s="3"/>
      <c r="Y522" s="3"/>
      <c r="Z522" s="50"/>
    </row>
    <row r="523" spans="1:26" ht="15.75">
      <c r="A523" s="1"/>
      <c r="X523" s="3"/>
      <c r="Y523" s="3"/>
      <c r="Z523" s="50"/>
    </row>
    <row r="524" spans="1:26" ht="15.75">
      <c r="A524" s="1"/>
      <c r="X524" s="3"/>
      <c r="Y524" s="3"/>
      <c r="Z524" s="50"/>
    </row>
    <row r="525" spans="1:26" ht="15.75">
      <c r="A525" s="1"/>
      <c r="X525" s="3"/>
      <c r="Y525" s="3"/>
      <c r="Z525" s="50"/>
    </row>
    <row r="526" spans="1:26" ht="15.75">
      <c r="A526" s="1"/>
      <c r="X526" s="3"/>
      <c r="Y526" s="3"/>
      <c r="Z526" s="50"/>
    </row>
    <row r="527" spans="1:26" ht="15.75">
      <c r="A527" s="1"/>
      <c r="X527" s="3"/>
      <c r="Y527" s="3"/>
      <c r="Z527" s="50"/>
    </row>
    <row r="528" spans="1:26" ht="15.75">
      <c r="A528" s="1"/>
      <c r="X528" s="3"/>
      <c r="Y528" s="3"/>
      <c r="Z528" s="50"/>
    </row>
    <row r="529" spans="1:26" ht="15.75">
      <c r="A529" s="1"/>
      <c r="X529" s="3"/>
      <c r="Y529" s="3"/>
      <c r="Z529" s="50"/>
    </row>
    <row r="530" spans="1:26" ht="15.75">
      <c r="A530" s="1"/>
      <c r="X530" s="3"/>
      <c r="Y530" s="3"/>
      <c r="Z530" s="50"/>
    </row>
    <row r="531" spans="1:26" ht="15.75">
      <c r="A531" s="1"/>
      <c r="X531" s="3"/>
      <c r="Y531" s="3"/>
      <c r="Z531" s="50"/>
    </row>
    <row r="532" spans="1:26" ht="15.75">
      <c r="A532" s="1"/>
      <c r="X532" s="3"/>
      <c r="Y532" s="3"/>
      <c r="Z532" s="50"/>
    </row>
    <row r="533" spans="1:26" ht="15.75">
      <c r="A533" s="1"/>
      <c r="X533" s="3"/>
      <c r="Y533" s="3"/>
      <c r="Z533" s="50"/>
    </row>
    <row r="534" spans="1:26" ht="15.75">
      <c r="A534" s="1"/>
      <c r="X534" s="3"/>
      <c r="Y534" s="3"/>
      <c r="Z534" s="50"/>
    </row>
    <row r="535" spans="1:26" ht="15.75">
      <c r="A535" s="1"/>
      <c r="X535" s="3"/>
      <c r="Y535" s="3"/>
      <c r="Z535" s="50"/>
    </row>
    <row r="536" spans="1:26" ht="15.75">
      <c r="A536" s="1"/>
      <c r="X536" s="3"/>
      <c r="Y536" s="3"/>
      <c r="Z536" s="50"/>
    </row>
    <row r="537" spans="1:26" ht="15.75">
      <c r="A537" s="1"/>
      <c r="X537" s="3"/>
      <c r="Y537" s="3"/>
      <c r="Z537" s="50"/>
    </row>
    <row r="538" spans="1:26" ht="15.75">
      <c r="A538" s="1"/>
      <c r="X538" s="3"/>
      <c r="Y538" s="3"/>
      <c r="Z538" s="50"/>
    </row>
    <row r="539" spans="1:26" ht="15.75">
      <c r="A539" s="1"/>
      <c r="X539" s="3"/>
      <c r="Y539" s="3"/>
      <c r="Z539" s="50"/>
    </row>
    <row r="540" spans="1:26" ht="15.75">
      <c r="A540" s="1"/>
      <c r="X540" s="3"/>
      <c r="Y540" s="3"/>
      <c r="Z540" s="50"/>
    </row>
    <row r="541" spans="1:26" ht="15.75">
      <c r="A541" s="1"/>
      <c r="X541" s="3"/>
      <c r="Y541" s="3"/>
      <c r="Z541" s="50"/>
    </row>
    <row r="542" spans="1:26" ht="15.75">
      <c r="A542" s="1"/>
      <c r="X542" s="3"/>
      <c r="Y542" s="3"/>
      <c r="Z542" s="50"/>
    </row>
    <row r="543" spans="1:26" ht="15.75">
      <c r="A543" s="1"/>
      <c r="X543" s="3"/>
      <c r="Y543" s="3"/>
      <c r="Z543" s="50"/>
    </row>
    <row r="544" spans="1:26" ht="15.75">
      <c r="A544" s="1"/>
      <c r="X544" s="3"/>
      <c r="Y544" s="3"/>
      <c r="Z544" s="50"/>
    </row>
    <row r="545" spans="1:26" ht="15.75">
      <c r="A545" s="1"/>
      <c r="X545" s="3"/>
      <c r="Y545" s="3"/>
      <c r="Z545" s="50"/>
    </row>
    <row r="546" spans="1:26" ht="15.75">
      <c r="A546" s="1"/>
      <c r="X546" s="3"/>
      <c r="Y546" s="3"/>
      <c r="Z546" s="50"/>
    </row>
    <row r="547" spans="1:26" ht="15.75">
      <c r="A547" s="1"/>
      <c r="X547" s="3"/>
      <c r="Y547" s="3"/>
      <c r="Z547" s="50"/>
    </row>
    <row r="548" spans="1:26" ht="15.75">
      <c r="A548" s="1"/>
      <c r="X548" s="3"/>
      <c r="Y548" s="3"/>
      <c r="Z548" s="50"/>
    </row>
    <row r="549" spans="1:26" ht="15.75">
      <c r="A549" s="1"/>
      <c r="X549" s="3"/>
      <c r="Y549" s="3"/>
      <c r="Z549" s="50"/>
    </row>
    <row r="550" spans="1:26" ht="15.75">
      <c r="A550" s="1"/>
      <c r="X550" s="3"/>
      <c r="Y550" s="3"/>
      <c r="Z550" s="50"/>
    </row>
    <row r="551" spans="1:26" ht="15.75">
      <c r="A551" s="1"/>
      <c r="X551" s="3"/>
      <c r="Y551" s="3"/>
      <c r="Z551" s="50"/>
    </row>
    <row r="552" spans="1:26" ht="15.75">
      <c r="A552" s="1"/>
      <c r="X552" s="3"/>
      <c r="Y552" s="3"/>
      <c r="Z552" s="50"/>
    </row>
    <row r="553" spans="1:26" ht="15.75">
      <c r="A553" s="1"/>
      <c r="X553" s="3"/>
      <c r="Y553" s="3"/>
      <c r="Z553" s="50"/>
    </row>
    <row r="554" spans="1:26" ht="15.75">
      <c r="A554" s="1"/>
      <c r="X554" s="3"/>
      <c r="Y554" s="3"/>
      <c r="Z554" s="50"/>
    </row>
    <row r="555" spans="1:26" ht="15.75">
      <c r="A555" s="1"/>
      <c r="X555" s="3"/>
      <c r="Y555" s="3"/>
      <c r="Z555" s="50"/>
    </row>
    <row r="556" spans="1:26" ht="15.75">
      <c r="A556" s="1"/>
      <c r="X556" s="3"/>
      <c r="Y556" s="3"/>
      <c r="Z556" s="50"/>
    </row>
    <row r="557" spans="1:26" ht="15.75">
      <c r="A557" s="1"/>
      <c r="X557" s="3"/>
      <c r="Y557" s="3"/>
      <c r="Z557" s="50"/>
    </row>
    <row r="558" spans="1:26" ht="15.75">
      <c r="A558" s="1"/>
      <c r="X558" s="3"/>
      <c r="Y558" s="3"/>
      <c r="Z558" s="50"/>
    </row>
    <row r="559" spans="1:26" ht="15.75">
      <c r="A559" s="1"/>
      <c r="X559" s="3"/>
      <c r="Y559" s="3"/>
      <c r="Z559" s="50"/>
    </row>
    <row r="560" spans="1:26" ht="15.75">
      <c r="A560" s="1"/>
      <c r="X560" s="3"/>
      <c r="Y560" s="3"/>
      <c r="Z560" s="50"/>
    </row>
    <row r="561" spans="1:26" ht="15.75">
      <c r="A561" s="1"/>
      <c r="X561" s="3"/>
      <c r="Y561" s="3"/>
      <c r="Z561" s="50"/>
    </row>
    <row r="562" spans="1:26" ht="15.75">
      <c r="A562" s="1"/>
      <c r="X562" s="3"/>
      <c r="Y562" s="3"/>
      <c r="Z562" s="50"/>
    </row>
    <row r="563" spans="1:26" ht="15.75">
      <c r="A563" s="1"/>
      <c r="X563" s="3"/>
      <c r="Y563" s="3"/>
      <c r="Z563" s="50"/>
    </row>
    <row r="564" spans="1:26" ht="15.75">
      <c r="A564" s="1"/>
      <c r="X564" s="3"/>
      <c r="Y564" s="3"/>
      <c r="Z564" s="50"/>
    </row>
    <row r="565" spans="1:26" ht="15.75">
      <c r="A565" s="1"/>
      <c r="X565" s="3"/>
      <c r="Y565" s="3"/>
      <c r="Z565" s="50"/>
    </row>
    <row r="566" spans="1:26" ht="15.75">
      <c r="A566" s="1"/>
      <c r="X566" s="3"/>
      <c r="Y566" s="3"/>
      <c r="Z566" s="50"/>
    </row>
    <row r="567" spans="1:26" ht="15.75">
      <c r="A567" s="1"/>
      <c r="X567" s="3"/>
      <c r="Y567" s="3"/>
      <c r="Z567" s="50"/>
    </row>
    <row r="568" spans="1:26" ht="15.75">
      <c r="A568" s="1"/>
      <c r="X568" s="3"/>
      <c r="Y568" s="3"/>
      <c r="Z568" s="50"/>
    </row>
    <row r="569" spans="1:26" ht="15.75">
      <c r="A569" s="1"/>
      <c r="X569" s="3"/>
      <c r="Y569" s="3"/>
      <c r="Z569" s="50"/>
    </row>
    <row r="570" spans="1:26" ht="15.75">
      <c r="A570" s="1"/>
      <c r="X570" s="3"/>
      <c r="Y570" s="3"/>
      <c r="Z570" s="50"/>
    </row>
    <row r="571" spans="1:26" ht="15.75">
      <c r="A571" s="1"/>
      <c r="X571" s="3"/>
      <c r="Y571" s="3"/>
      <c r="Z571" s="50"/>
    </row>
    <row r="572" spans="1:26" ht="15.75">
      <c r="A572" s="1"/>
      <c r="X572" s="3"/>
      <c r="Y572" s="3"/>
      <c r="Z572" s="50"/>
    </row>
    <row r="573" spans="1:26" ht="15.75">
      <c r="A573" s="1"/>
      <c r="X573" s="3"/>
      <c r="Y573" s="3"/>
      <c r="Z573" s="50"/>
    </row>
    <row r="574" spans="1:26" ht="15.75">
      <c r="A574" s="1"/>
      <c r="X574" s="3"/>
      <c r="Y574" s="3"/>
      <c r="Z574" s="50"/>
    </row>
    <row r="575" spans="1:26" ht="15.75">
      <c r="A575" s="1"/>
      <c r="X575" s="3"/>
      <c r="Y575" s="3"/>
      <c r="Z575" s="50"/>
    </row>
    <row r="576" spans="1:26" ht="15.75">
      <c r="A576" s="1"/>
      <c r="X576" s="3"/>
      <c r="Y576" s="3"/>
      <c r="Z576" s="50"/>
    </row>
    <row r="577" spans="1:26" ht="15.75">
      <c r="A577" s="1"/>
      <c r="X577" s="3"/>
      <c r="Y577" s="3"/>
      <c r="Z577" s="50"/>
    </row>
    <row r="578" spans="1:26" ht="15.75">
      <c r="A578" s="1"/>
      <c r="X578" s="3"/>
      <c r="Y578" s="3"/>
      <c r="Z578" s="50"/>
    </row>
    <row r="579" spans="1:26" ht="15.75">
      <c r="A579" s="1"/>
      <c r="X579" s="3"/>
      <c r="Y579" s="3"/>
      <c r="Z579" s="50"/>
    </row>
    <row r="580" spans="1:26" ht="15.75">
      <c r="A580" s="1"/>
      <c r="X580" s="3"/>
      <c r="Y580" s="3"/>
      <c r="Z580" s="50"/>
    </row>
    <row r="581" spans="1:26" ht="15.75">
      <c r="A581" s="1"/>
      <c r="X581" s="3"/>
      <c r="Y581" s="3"/>
      <c r="Z581" s="50"/>
    </row>
    <row r="582" spans="1:26" ht="15.75">
      <c r="A582" s="1"/>
      <c r="X582" s="3"/>
      <c r="Y582" s="3"/>
      <c r="Z582" s="50"/>
    </row>
    <row r="583" spans="1:26" ht="15.75">
      <c r="A583" s="1"/>
      <c r="X583" s="3"/>
      <c r="Y583" s="3"/>
      <c r="Z583" s="50"/>
    </row>
    <row r="584" spans="1:26" ht="15.75">
      <c r="A584" s="1"/>
      <c r="X584" s="3"/>
      <c r="Y584" s="3"/>
      <c r="Z584" s="50"/>
    </row>
    <row r="585" spans="1:26" ht="15.75">
      <c r="A585" s="1"/>
      <c r="X585" s="3"/>
      <c r="Y585" s="3"/>
      <c r="Z585" s="50"/>
    </row>
    <row r="586" spans="1:26" ht="15.75">
      <c r="A586" s="1"/>
      <c r="X586" s="3"/>
      <c r="Y586" s="3"/>
      <c r="Z586" s="50"/>
    </row>
    <row r="587" spans="1:26" ht="15.75">
      <c r="A587" s="1"/>
      <c r="X587" s="3"/>
      <c r="Y587" s="3"/>
      <c r="Z587" s="50"/>
    </row>
    <row r="588" spans="1:26" ht="15.75">
      <c r="A588" s="1"/>
      <c r="X588" s="3"/>
      <c r="Y588" s="3"/>
      <c r="Z588" s="50"/>
    </row>
    <row r="589" spans="1:26" ht="15.75">
      <c r="A589" s="1"/>
      <c r="X589" s="3"/>
      <c r="Y589" s="3"/>
      <c r="Z589" s="50"/>
    </row>
    <row r="590" spans="1:26" ht="15.75">
      <c r="A590" s="1"/>
      <c r="X590" s="3"/>
      <c r="Y590" s="3"/>
      <c r="Z590" s="50"/>
    </row>
    <row r="591" spans="1:26" ht="15.75">
      <c r="A591" s="1"/>
      <c r="X591" s="3"/>
      <c r="Y591" s="3"/>
      <c r="Z591" s="50"/>
    </row>
    <row r="592" spans="1:26" ht="15.75">
      <c r="A592" s="1"/>
      <c r="X592" s="3"/>
      <c r="Y592" s="3"/>
      <c r="Z592" s="50"/>
    </row>
    <row r="593" spans="1:26" ht="15.75">
      <c r="A593" s="1"/>
      <c r="X593" s="3"/>
      <c r="Y593" s="3"/>
      <c r="Z593" s="50"/>
    </row>
    <row r="594" spans="1:26" ht="15.75">
      <c r="A594" s="1"/>
      <c r="X594" s="3"/>
      <c r="Y594" s="3"/>
      <c r="Z594" s="50"/>
    </row>
    <row r="595" spans="1:26" ht="15.75">
      <c r="A595" s="1"/>
      <c r="X595" s="3"/>
      <c r="Y595" s="3"/>
      <c r="Z595" s="50"/>
    </row>
    <row r="596" spans="1:26" ht="15.75">
      <c r="A596" s="1"/>
      <c r="X596" s="3"/>
      <c r="Y596" s="3"/>
      <c r="Z596" s="50"/>
    </row>
    <row r="597" spans="1:26" ht="15.75">
      <c r="A597" s="1"/>
      <c r="X597" s="3"/>
      <c r="Y597" s="3"/>
      <c r="Z597" s="50"/>
    </row>
    <row r="598" spans="1:26" ht="15.75">
      <c r="A598" s="1"/>
      <c r="X598" s="3"/>
      <c r="Y598" s="3"/>
      <c r="Z598" s="50"/>
    </row>
    <row r="599" spans="1:26" ht="15.75">
      <c r="A599" s="1"/>
      <c r="X599" s="3"/>
      <c r="Y599" s="3"/>
      <c r="Z599" s="50"/>
    </row>
    <row r="600" spans="1:26" ht="15.75">
      <c r="A600" s="1"/>
      <c r="X600" s="3"/>
      <c r="Y600" s="3"/>
      <c r="Z600" s="50"/>
    </row>
    <row r="601" spans="1:26" ht="15.75">
      <c r="A601" s="1"/>
      <c r="X601" s="3"/>
      <c r="Y601" s="3"/>
      <c r="Z601" s="50"/>
    </row>
    <row r="602" spans="1:26" ht="15.75">
      <c r="A602" s="1"/>
      <c r="X602" s="3"/>
      <c r="Y602" s="3"/>
      <c r="Z602" s="50"/>
    </row>
    <row r="603" spans="1:26" ht="15.75">
      <c r="A603" s="1"/>
      <c r="X603" s="3"/>
      <c r="Y603" s="3"/>
      <c r="Z603" s="50"/>
    </row>
    <row r="604" spans="1:26" ht="15.75">
      <c r="A604" s="1"/>
      <c r="X604" s="3"/>
      <c r="Y604" s="3"/>
      <c r="Z604" s="50"/>
    </row>
    <row r="605" spans="1:26" ht="15.75">
      <c r="A605" s="1"/>
      <c r="X605" s="3"/>
      <c r="Y605" s="3"/>
      <c r="Z605" s="50"/>
    </row>
    <row r="606" spans="1:26" ht="15.75">
      <c r="A606" s="1"/>
      <c r="X606" s="3"/>
      <c r="Y606" s="3"/>
      <c r="Z606" s="50"/>
    </row>
    <row r="607" spans="1:26" ht="15.75">
      <c r="A607" s="1"/>
      <c r="X607" s="3"/>
      <c r="Y607" s="3"/>
      <c r="Z607" s="50"/>
    </row>
    <row r="608" spans="1:26" ht="15.75">
      <c r="A608" s="1"/>
      <c r="X608" s="3"/>
      <c r="Y608" s="3"/>
      <c r="Z608" s="50"/>
    </row>
    <row r="609" spans="1:26" ht="15.75">
      <c r="A609" s="1"/>
      <c r="X609" s="3"/>
      <c r="Y609" s="3"/>
      <c r="Z609" s="50"/>
    </row>
    <row r="610" spans="1:26" ht="15.75">
      <c r="A610" s="1"/>
      <c r="X610" s="3"/>
      <c r="Y610" s="3"/>
      <c r="Z610" s="50"/>
    </row>
    <row r="611" spans="1:26" ht="15.75">
      <c r="A611" s="1"/>
      <c r="X611" s="3"/>
      <c r="Y611" s="3"/>
      <c r="Z611" s="50"/>
    </row>
    <row r="612" spans="1:26" ht="15.75">
      <c r="A612" s="1"/>
      <c r="X612" s="3"/>
      <c r="Y612" s="3"/>
      <c r="Z612" s="50"/>
    </row>
    <row r="613" spans="1:26" ht="15.75">
      <c r="A613" s="1"/>
      <c r="X613" s="3"/>
      <c r="Y613" s="3"/>
      <c r="Z613" s="50"/>
    </row>
    <row r="614" spans="1:26" ht="15.75">
      <c r="A614" s="1"/>
      <c r="X614" s="3"/>
      <c r="Y614" s="3"/>
      <c r="Z614" s="50"/>
    </row>
    <row r="615" spans="1:26" ht="15.75">
      <c r="A615" s="1"/>
      <c r="X615" s="3"/>
      <c r="Y615" s="3"/>
      <c r="Z615" s="50"/>
    </row>
    <row r="616" spans="1:26" ht="15.75">
      <c r="A616" s="1"/>
      <c r="X616" s="3"/>
      <c r="Y616" s="3"/>
      <c r="Z616" s="50"/>
    </row>
    <row r="617" spans="1:26" ht="15.75">
      <c r="A617" s="1"/>
      <c r="X617" s="3"/>
      <c r="Y617" s="3"/>
      <c r="Z617" s="50"/>
    </row>
    <row r="618" spans="1:26" ht="15.75">
      <c r="A618" s="1"/>
      <c r="X618" s="3"/>
      <c r="Y618" s="3"/>
      <c r="Z618" s="50"/>
    </row>
    <row r="619" spans="1:26" ht="15.75">
      <c r="A619" s="1"/>
      <c r="X619" s="3"/>
      <c r="Y619" s="3"/>
      <c r="Z619" s="50"/>
    </row>
    <row r="620" spans="1:26" ht="15.75">
      <c r="A620" s="1"/>
      <c r="X620" s="3"/>
      <c r="Y620" s="3"/>
      <c r="Z620" s="50"/>
    </row>
    <row r="621" spans="1:26" ht="15.75">
      <c r="A621" s="1"/>
      <c r="X621" s="3"/>
      <c r="Y621" s="3"/>
      <c r="Z621" s="50"/>
    </row>
    <row r="622" spans="1:26" ht="15.75">
      <c r="A622" s="1"/>
      <c r="X622" s="3"/>
      <c r="Y622" s="3"/>
      <c r="Z622" s="50"/>
    </row>
    <row r="623" spans="1:26" ht="15.75">
      <c r="A623" s="1"/>
      <c r="X623" s="3"/>
      <c r="Y623" s="3"/>
      <c r="Z623" s="50"/>
    </row>
    <row r="624" spans="1:26" ht="15.75">
      <c r="A624" s="1"/>
      <c r="X624" s="3"/>
      <c r="Y624" s="3"/>
      <c r="Z624" s="50"/>
    </row>
    <row r="625" spans="1:26" ht="15.75">
      <c r="A625" s="1"/>
      <c r="X625" s="3"/>
      <c r="Y625" s="3"/>
      <c r="Z625" s="50"/>
    </row>
    <row r="626" spans="1:26" ht="15.75">
      <c r="A626" s="1"/>
      <c r="X626" s="3"/>
      <c r="Y626" s="3"/>
      <c r="Z626" s="50"/>
    </row>
    <row r="627" spans="1:26" ht="15.75">
      <c r="A627" s="1"/>
      <c r="X627" s="3"/>
      <c r="Y627" s="3"/>
      <c r="Z627" s="50"/>
    </row>
    <row r="628" spans="1:26" ht="15.75">
      <c r="A628" s="1"/>
      <c r="X628" s="3"/>
      <c r="Y628" s="3"/>
      <c r="Z628" s="50"/>
    </row>
    <row r="629" spans="1:26" ht="15.75">
      <c r="A629" s="1"/>
      <c r="X629" s="3"/>
      <c r="Y629" s="3"/>
      <c r="Z629" s="50"/>
    </row>
    <row r="630" spans="1:26" ht="15.75">
      <c r="A630" s="1"/>
      <c r="X630" s="3"/>
      <c r="Y630" s="3"/>
      <c r="Z630" s="50"/>
    </row>
    <row r="631" spans="1:26" ht="15.75">
      <c r="A631" s="1"/>
      <c r="X631" s="3"/>
      <c r="Y631" s="3"/>
      <c r="Z631" s="50"/>
    </row>
    <row r="632" spans="1:26" ht="15.75">
      <c r="A632" s="1"/>
      <c r="X632" s="3"/>
      <c r="Y632" s="3"/>
      <c r="Z632" s="50"/>
    </row>
    <row r="633" spans="1:26" ht="15.75">
      <c r="A633" s="1"/>
      <c r="X633" s="3"/>
      <c r="Y633" s="3"/>
      <c r="Z633" s="50"/>
    </row>
    <row r="634" spans="1:26" ht="15.75">
      <c r="A634" s="1"/>
      <c r="X634" s="3"/>
      <c r="Y634" s="3"/>
      <c r="Z634" s="50"/>
    </row>
    <row r="635" spans="1:26" ht="15.75">
      <c r="A635" s="1"/>
      <c r="X635" s="3"/>
      <c r="Y635" s="3"/>
      <c r="Z635" s="50"/>
    </row>
    <row r="636" spans="1:26" ht="15.75">
      <c r="A636" s="1"/>
      <c r="X636" s="3"/>
      <c r="Y636" s="3"/>
      <c r="Z636" s="50"/>
    </row>
    <row r="637" spans="1:26" ht="15.75">
      <c r="A637" s="1"/>
      <c r="X637" s="3"/>
      <c r="Y637" s="3"/>
      <c r="Z637" s="50"/>
    </row>
    <row r="638" spans="1:26" ht="15.75">
      <c r="A638" s="1"/>
      <c r="X638" s="3"/>
      <c r="Y638" s="3"/>
      <c r="Z638" s="50"/>
    </row>
    <row r="639" spans="1:26" ht="15.75">
      <c r="A639" s="1"/>
      <c r="X639" s="3"/>
      <c r="Y639" s="3"/>
      <c r="Z639" s="50"/>
    </row>
    <row r="640" spans="1:26" ht="15.75">
      <c r="A640" s="1"/>
      <c r="X640" s="3"/>
      <c r="Y640" s="3"/>
      <c r="Z640" s="50"/>
    </row>
    <row r="641" spans="1:26" ht="15.75">
      <c r="A641" s="1"/>
      <c r="X641" s="3"/>
      <c r="Y641" s="3"/>
      <c r="Z641" s="50"/>
    </row>
    <row r="642" spans="1:26" ht="15.75">
      <c r="A642" s="1"/>
      <c r="X642" s="3"/>
      <c r="Y642" s="3"/>
      <c r="Z642" s="50"/>
    </row>
    <row r="643" spans="1:26" ht="15.75">
      <c r="A643" s="1"/>
      <c r="X643" s="3"/>
      <c r="Y643" s="3"/>
      <c r="Z643" s="50"/>
    </row>
    <row r="644" spans="1:26" ht="15.75">
      <c r="A644" s="1"/>
      <c r="X644" s="3"/>
      <c r="Y644" s="3"/>
      <c r="Z644" s="50"/>
    </row>
    <row r="645" spans="1:26" ht="15.75">
      <c r="A645" s="1"/>
      <c r="X645" s="3"/>
      <c r="Y645" s="3"/>
      <c r="Z645" s="50"/>
    </row>
    <row r="646" spans="1:26" ht="15.75">
      <c r="A646" s="1"/>
      <c r="X646" s="3"/>
      <c r="Y646" s="3"/>
      <c r="Z646" s="50"/>
    </row>
    <row r="647" spans="1:26" ht="15.75">
      <c r="A647" s="1"/>
      <c r="X647" s="3"/>
      <c r="Y647" s="3"/>
      <c r="Z647" s="50"/>
    </row>
    <row r="648" spans="1:26" ht="15.75">
      <c r="A648" s="1"/>
      <c r="X648" s="3"/>
      <c r="Y648" s="3"/>
      <c r="Z648" s="50"/>
    </row>
    <row r="649" spans="1:26" ht="15.75">
      <c r="A649" s="1"/>
      <c r="X649" s="3"/>
      <c r="Y649" s="3"/>
      <c r="Z649" s="50"/>
    </row>
    <row r="650" spans="1:26" ht="15.75">
      <c r="A650" s="1"/>
      <c r="X650" s="3"/>
      <c r="Y650" s="3"/>
      <c r="Z650" s="50"/>
    </row>
    <row r="651" spans="1:26" ht="15.75">
      <c r="A651" s="1"/>
      <c r="X651" s="3"/>
      <c r="Y651" s="3"/>
      <c r="Z651" s="50"/>
    </row>
    <row r="652" spans="1:26" ht="15.75">
      <c r="A652" s="1"/>
      <c r="X652" s="3"/>
      <c r="Y652" s="3"/>
      <c r="Z652" s="50"/>
    </row>
    <row r="653" spans="1:26" ht="15.75">
      <c r="A653" s="1"/>
      <c r="X653" s="3"/>
      <c r="Y653" s="3"/>
      <c r="Z653" s="50"/>
    </row>
    <row r="654" spans="1:26" ht="15.75">
      <c r="A654" s="1"/>
      <c r="X654" s="3"/>
      <c r="Y654" s="3"/>
      <c r="Z654" s="50"/>
    </row>
    <row r="655" spans="1:26" ht="15.75">
      <c r="A655" s="1"/>
      <c r="X655" s="3"/>
      <c r="Y655" s="3"/>
      <c r="Z655" s="50"/>
    </row>
    <row r="656" spans="1:26" ht="15.75">
      <c r="A656" s="1"/>
      <c r="X656" s="3"/>
      <c r="Y656" s="3"/>
      <c r="Z656" s="50"/>
    </row>
    <row r="657" spans="1:26" ht="15.75">
      <c r="A657" s="1"/>
      <c r="X657" s="3"/>
      <c r="Y657" s="3"/>
      <c r="Z657" s="50"/>
    </row>
    <row r="658" spans="1:26" ht="15.75">
      <c r="A658" s="1"/>
      <c r="X658" s="3"/>
      <c r="Y658" s="3"/>
      <c r="Z658" s="50"/>
    </row>
    <row r="659" spans="1:26" ht="15.75">
      <c r="A659" s="1"/>
      <c r="X659" s="3"/>
      <c r="Y659" s="3"/>
      <c r="Z659" s="50"/>
    </row>
    <row r="660" spans="1:26" ht="15.75">
      <c r="A660" s="1"/>
      <c r="X660" s="3"/>
      <c r="Y660" s="3"/>
      <c r="Z660" s="50"/>
    </row>
    <row r="661" spans="1:26" ht="15.75">
      <c r="A661" s="1"/>
      <c r="X661" s="3"/>
      <c r="Y661" s="3"/>
      <c r="Z661" s="50"/>
    </row>
    <row r="662" spans="1:26" ht="15.75">
      <c r="A662" s="1"/>
      <c r="X662" s="3"/>
      <c r="Y662" s="3"/>
      <c r="Z662" s="50"/>
    </row>
    <row r="663" spans="1:26" ht="15.75">
      <c r="A663" s="1"/>
      <c r="X663" s="3"/>
      <c r="Y663" s="3"/>
      <c r="Z663" s="50"/>
    </row>
    <row r="664" spans="1:26" ht="15.75">
      <c r="A664" s="1"/>
      <c r="X664" s="3"/>
      <c r="Y664" s="3"/>
      <c r="Z664" s="50"/>
    </row>
    <row r="665" spans="1:26" ht="15.75">
      <c r="A665" s="1"/>
      <c r="X665" s="3"/>
      <c r="Y665" s="3"/>
      <c r="Z665" s="50"/>
    </row>
    <row r="666" spans="1:26" ht="15.75">
      <c r="A666" s="1"/>
      <c r="X666" s="3"/>
      <c r="Y666" s="3"/>
      <c r="Z666" s="50"/>
    </row>
    <row r="667" spans="1:26" ht="15.75">
      <c r="A667" s="1"/>
      <c r="X667" s="3"/>
      <c r="Y667" s="3"/>
      <c r="Z667" s="50"/>
    </row>
    <row r="668" spans="1:26" ht="15.75">
      <c r="A668" s="1"/>
      <c r="X668" s="3"/>
      <c r="Y668" s="3"/>
      <c r="Z668" s="50"/>
    </row>
    <row r="669" spans="1:26" ht="15.75">
      <c r="A669" s="1"/>
      <c r="X669" s="3"/>
      <c r="Y669" s="3"/>
      <c r="Z669" s="50"/>
    </row>
    <row r="670" spans="1:26" ht="15.75">
      <c r="A670" s="1"/>
      <c r="X670" s="3"/>
      <c r="Y670" s="3"/>
      <c r="Z670" s="50"/>
    </row>
    <row r="671" spans="1:26" ht="15.75">
      <c r="A671" s="1"/>
      <c r="X671" s="3"/>
      <c r="Y671" s="3"/>
      <c r="Z671" s="50"/>
    </row>
    <row r="672" spans="1:26" ht="15.75">
      <c r="A672" s="1"/>
      <c r="X672" s="3"/>
      <c r="Y672" s="3"/>
      <c r="Z672" s="50"/>
    </row>
    <row r="673" spans="1:26" ht="15.75">
      <c r="A673" s="1"/>
      <c r="X673" s="3"/>
      <c r="Y673" s="3"/>
      <c r="Z673" s="50"/>
    </row>
    <row r="674" spans="1:26" ht="15.75">
      <c r="A674" s="1"/>
      <c r="X674" s="3"/>
      <c r="Y674" s="3"/>
      <c r="Z674" s="50"/>
    </row>
    <row r="675" spans="1:26" ht="15.75">
      <c r="A675" s="1"/>
      <c r="X675" s="3"/>
      <c r="Y675" s="3"/>
      <c r="Z675" s="50"/>
    </row>
    <row r="676" spans="1:26" ht="15.75">
      <c r="A676" s="1"/>
      <c r="X676" s="3"/>
      <c r="Y676" s="3"/>
      <c r="Z676" s="50"/>
    </row>
    <row r="677" spans="1:26" ht="15.75">
      <c r="A677" s="1"/>
      <c r="X677" s="3"/>
      <c r="Y677" s="3"/>
      <c r="Z677" s="50"/>
    </row>
    <row r="678" spans="1:26" ht="15.75">
      <c r="A678" s="1"/>
      <c r="X678" s="3"/>
      <c r="Y678" s="3"/>
      <c r="Z678" s="50"/>
    </row>
    <row r="679" spans="1:26" ht="15.75">
      <c r="A679" s="1"/>
      <c r="X679" s="3"/>
      <c r="Y679" s="3"/>
      <c r="Z679" s="50"/>
    </row>
    <row r="680" spans="1:26" ht="15.75">
      <c r="A680" s="1"/>
      <c r="X680" s="3"/>
      <c r="Y680" s="3"/>
      <c r="Z680" s="50"/>
    </row>
    <row r="681" spans="1:26" ht="15.75">
      <c r="A681" s="1"/>
      <c r="X681" s="3"/>
      <c r="Y681" s="3"/>
      <c r="Z681" s="50"/>
    </row>
    <row r="682" spans="1:26" ht="15.75">
      <c r="A682" s="1"/>
      <c r="X682" s="3"/>
      <c r="Y682" s="3"/>
      <c r="Z682" s="50"/>
    </row>
    <row r="683" spans="1:26" ht="15.75">
      <c r="A683" s="1"/>
      <c r="X683" s="3"/>
      <c r="Y683" s="3"/>
      <c r="Z683" s="50"/>
    </row>
    <row r="684" spans="1:26" ht="15.75">
      <c r="A684" s="1"/>
      <c r="X684" s="3"/>
      <c r="Y684" s="3"/>
      <c r="Z684" s="50"/>
    </row>
    <row r="685" spans="1:26" ht="15.75">
      <c r="A685" s="1"/>
      <c r="X685" s="3"/>
      <c r="Y685" s="3"/>
      <c r="Z685" s="50"/>
    </row>
    <row r="686" spans="1:26" ht="15.75">
      <c r="A686" s="1"/>
      <c r="X686" s="3"/>
      <c r="Y686" s="3"/>
      <c r="Z686" s="50"/>
    </row>
    <row r="687" spans="1:26" ht="15.75">
      <c r="A687" s="1"/>
      <c r="X687" s="3"/>
      <c r="Y687" s="3"/>
      <c r="Z687" s="50"/>
    </row>
    <row r="688" spans="1:26" ht="15.75">
      <c r="A688" s="1"/>
      <c r="X688" s="3"/>
      <c r="Y688" s="3"/>
      <c r="Z688" s="50"/>
    </row>
    <row r="689" spans="1:26" ht="15.75">
      <c r="A689" s="1"/>
      <c r="X689" s="3"/>
      <c r="Y689" s="3"/>
      <c r="Z689" s="50"/>
    </row>
    <row r="690" spans="1:26" ht="15.75">
      <c r="A690" s="1"/>
      <c r="X690" s="3"/>
      <c r="Y690" s="3"/>
      <c r="Z690" s="50"/>
    </row>
    <row r="691" spans="1:26" ht="15.75">
      <c r="A691" s="1"/>
      <c r="X691" s="3"/>
      <c r="Y691" s="3"/>
      <c r="Z691" s="50"/>
    </row>
    <row r="692" spans="1:26" ht="15.75">
      <c r="A692" s="1"/>
      <c r="X692" s="3"/>
      <c r="Y692" s="3"/>
      <c r="Z692" s="50"/>
    </row>
    <row r="693" spans="1:26" ht="15.75">
      <c r="A693" s="1"/>
      <c r="X693" s="3"/>
      <c r="Y693" s="3"/>
      <c r="Z693" s="50"/>
    </row>
    <row r="694" spans="1:26" ht="15.75">
      <c r="A694" s="1"/>
      <c r="X694" s="3"/>
      <c r="Y694" s="3"/>
      <c r="Z694" s="50"/>
    </row>
    <row r="695" spans="1:26" ht="15.75">
      <c r="A695" s="1"/>
      <c r="X695" s="3"/>
      <c r="Y695" s="3"/>
      <c r="Z695" s="50"/>
    </row>
    <row r="696" spans="1:26" ht="15.75">
      <c r="A696" s="1"/>
      <c r="X696" s="3"/>
      <c r="Y696" s="3"/>
      <c r="Z696" s="50"/>
    </row>
    <row r="697" spans="1:26" ht="15.75">
      <c r="A697" s="1"/>
      <c r="X697" s="3"/>
      <c r="Y697" s="3"/>
      <c r="Z697" s="50"/>
    </row>
    <row r="698" spans="1:26" ht="15.75">
      <c r="A698" s="1"/>
      <c r="X698" s="3"/>
      <c r="Y698" s="3"/>
      <c r="Z698" s="50"/>
    </row>
    <row r="699" spans="1:26" ht="15.75">
      <c r="A699" s="1"/>
      <c r="X699" s="3"/>
      <c r="Y699" s="3"/>
      <c r="Z699" s="50"/>
    </row>
    <row r="700" spans="1:26" ht="15.75">
      <c r="A700" s="1"/>
      <c r="X700" s="3"/>
      <c r="Y700" s="3"/>
      <c r="Z700" s="50"/>
    </row>
    <row r="701" spans="1:26" ht="15.75">
      <c r="A701" s="1"/>
      <c r="X701" s="3"/>
      <c r="Y701" s="3"/>
      <c r="Z701" s="50"/>
    </row>
    <row r="702" spans="1:26" ht="15.75">
      <c r="A702" s="1"/>
      <c r="X702" s="3"/>
      <c r="Y702" s="3"/>
      <c r="Z702" s="50"/>
    </row>
    <row r="703" spans="1:26" ht="15.75">
      <c r="A703" s="1"/>
      <c r="X703" s="3"/>
      <c r="Y703" s="3"/>
      <c r="Z703" s="50"/>
    </row>
    <row r="704" spans="1:26" ht="15.75">
      <c r="A704" s="1"/>
      <c r="X704" s="3"/>
      <c r="Y704" s="3"/>
      <c r="Z704" s="50"/>
    </row>
    <row r="705" spans="1:26" ht="15.75">
      <c r="A705" s="1"/>
      <c r="X705" s="3"/>
      <c r="Y705" s="3"/>
      <c r="Z705" s="50"/>
    </row>
    <row r="706" spans="1:26" ht="15.75">
      <c r="A706" s="1"/>
      <c r="X706" s="3"/>
      <c r="Y706" s="3"/>
      <c r="Z706" s="50"/>
    </row>
    <row r="707" spans="1:26" ht="15.75">
      <c r="A707" s="1"/>
      <c r="X707" s="3"/>
      <c r="Y707" s="3"/>
      <c r="Z707" s="50"/>
    </row>
    <row r="708" spans="1:26" ht="15.75">
      <c r="A708" s="1"/>
      <c r="X708" s="3"/>
      <c r="Y708" s="3"/>
      <c r="Z708" s="50"/>
    </row>
    <row r="709" spans="1:26" ht="15.75">
      <c r="A709" s="1"/>
      <c r="X709" s="3"/>
      <c r="Y709" s="3"/>
      <c r="Z709" s="50"/>
    </row>
    <row r="710" spans="1:26" ht="15.75">
      <c r="A710" s="1"/>
      <c r="X710" s="3"/>
      <c r="Y710" s="3"/>
      <c r="Z710" s="50"/>
    </row>
    <row r="711" spans="1:26" ht="15.75">
      <c r="A711" s="1"/>
      <c r="X711" s="3"/>
      <c r="Y711" s="3"/>
      <c r="Z711" s="50"/>
    </row>
    <row r="712" spans="1:26" ht="15.75">
      <c r="A712" s="1"/>
      <c r="X712" s="3"/>
      <c r="Y712" s="3"/>
      <c r="Z712" s="50"/>
    </row>
    <row r="713" spans="1:26" ht="15.75">
      <c r="A713" s="1"/>
      <c r="X713" s="3"/>
      <c r="Y713" s="3"/>
      <c r="Z713" s="50"/>
    </row>
    <row r="714" spans="1:26" ht="15.75">
      <c r="A714" s="1"/>
      <c r="X714" s="3"/>
      <c r="Y714" s="3"/>
      <c r="Z714" s="50"/>
    </row>
    <row r="715" spans="1:26" ht="15.75">
      <c r="A715" s="1"/>
      <c r="X715" s="3"/>
      <c r="Y715" s="3"/>
      <c r="Z715" s="50"/>
    </row>
    <row r="716" spans="1:26" ht="15.75">
      <c r="A716" s="1"/>
      <c r="X716" s="3"/>
      <c r="Y716" s="3"/>
      <c r="Z716" s="50"/>
    </row>
    <row r="717" spans="1:26" ht="15.75">
      <c r="A717" s="1"/>
      <c r="X717" s="3"/>
      <c r="Y717" s="3"/>
      <c r="Z717" s="50"/>
    </row>
    <row r="718" spans="1:26" ht="15.75">
      <c r="A718" s="1"/>
      <c r="X718" s="3"/>
      <c r="Y718" s="3"/>
      <c r="Z718" s="50"/>
    </row>
    <row r="719" spans="1:26" ht="15.75">
      <c r="A719" s="1"/>
      <c r="X719" s="3"/>
      <c r="Y719" s="3"/>
      <c r="Z719" s="50"/>
    </row>
    <row r="720" spans="1:26" ht="15.75">
      <c r="A720" s="1"/>
      <c r="X720" s="3"/>
      <c r="Y720" s="3"/>
      <c r="Z720" s="50"/>
    </row>
    <row r="721" spans="1:26" ht="15.75">
      <c r="A721" s="1"/>
      <c r="X721" s="3"/>
      <c r="Y721" s="3"/>
      <c r="Z721" s="50"/>
    </row>
    <row r="722" spans="1:26" ht="15.75">
      <c r="A722" s="1"/>
      <c r="X722" s="3"/>
      <c r="Y722" s="3"/>
      <c r="Z722" s="50"/>
    </row>
    <row r="723" spans="1:26" ht="15.75">
      <c r="A723" s="1"/>
      <c r="X723" s="3"/>
      <c r="Y723" s="3"/>
      <c r="Z723" s="50"/>
    </row>
    <row r="724" spans="1:26" ht="15.75">
      <c r="A724" s="1"/>
      <c r="X724" s="3"/>
      <c r="Y724" s="3"/>
      <c r="Z724" s="50"/>
    </row>
    <row r="725" spans="1:26" ht="15.75">
      <c r="A725" s="1"/>
      <c r="X725" s="3"/>
      <c r="Y725" s="3"/>
      <c r="Z725" s="50"/>
    </row>
    <row r="726" spans="1:26" ht="15.75">
      <c r="A726" s="1"/>
      <c r="X726" s="3"/>
      <c r="Y726" s="3"/>
      <c r="Z726" s="50"/>
    </row>
    <row r="727" spans="1:26" ht="15.75">
      <c r="A727" s="1"/>
      <c r="X727" s="3"/>
      <c r="Y727" s="3"/>
      <c r="Z727" s="50"/>
    </row>
    <row r="728" spans="1:26" ht="15.75">
      <c r="A728" s="1"/>
      <c r="X728" s="3"/>
      <c r="Y728" s="3"/>
      <c r="Z728" s="50"/>
    </row>
    <row r="729" spans="1:26" ht="15.75">
      <c r="A729" s="1"/>
      <c r="X729" s="3"/>
      <c r="Y729" s="3"/>
      <c r="Z729" s="50"/>
    </row>
    <row r="730" spans="1:26" ht="15.75">
      <c r="A730" s="1"/>
      <c r="X730" s="3"/>
      <c r="Y730" s="3"/>
      <c r="Z730" s="50"/>
    </row>
    <row r="731" spans="1:26" ht="15.75">
      <c r="A731" s="1"/>
      <c r="X731" s="3"/>
      <c r="Y731" s="3"/>
      <c r="Z731" s="50"/>
    </row>
    <row r="732" spans="1:26" ht="15.75">
      <c r="A732" s="1"/>
      <c r="X732" s="3"/>
      <c r="Y732" s="3"/>
      <c r="Z732" s="50"/>
    </row>
    <row r="733" spans="1:26" ht="15.75">
      <c r="A733" s="1"/>
      <c r="X733" s="3"/>
      <c r="Y733" s="3"/>
      <c r="Z733" s="50"/>
    </row>
    <row r="734" spans="1:26" ht="15.75">
      <c r="A734" s="1"/>
      <c r="X734" s="3"/>
      <c r="Y734" s="3"/>
      <c r="Z734" s="50"/>
    </row>
    <row r="735" spans="1:26" ht="15.75">
      <c r="A735" s="1"/>
      <c r="X735" s="3"/>
      <c r="Y735" s="3"/>
      <c r="Z735" s="50"/>
    </row>
    <row r="736" spans="1:26" ht="15.75">
      <c r="A736" s="1"/>
      <c r="X736" s="3"/>
      <c r="Y736" s="3"/>
      <c r="Z736" s="50"/>
    </row>
    <row r="737" spans="1:26" ht="15.75">
      <c r="A737" s="1"/>
      <c r="X737" s="3"/>
      <c r="Y737" s="3"/>
      <c r="Z737" s="50"/>
    </row>
    <row r="738" spans="1:26" ht="15.75">
      <c r="A738" s="1"/>
      <c r="X738" s="3"/>
      <c r="Y738" s="3"/>
      <c r="Z738" s="50"/>
    </row>
    <row r="739" spans="1:26" ht="15.75">
      <c r="A739" s="1"/>
      <c r="X739" s="3"/>
      <c r="Y739" s="3"/>
      <c r="Z739" s="50"/>
    </row>
    <row r="740" spans="1:26" ht="15.75">
      <c r="A740" s="1"/>
      <c r="X740" s="3"/>
      <c r="Y740" s="3"/>
      <c r="Z740" s="50"/>
    </row>
    <row r="741" spans="1:26" ht="15.75">
      <c r="A741" s="1"/>
      <c r="X741" s="3"/>
      <c r="Y741" s="3"/>
      <c r="Z741" s="50"/>
    </row>
    <row r="742" spans="1:26" ht="15.75">
      <c r="A742" s="1"/>
      <c r="X742" s="3"/>
      <c r="Y742" s="3"/>
      <c r="Z742" s="50"/>
    </row>
    <row r="743" spans="1:26" ht="15.75">
      <c r="A743" s="1"/>
      <c r="X743" s="3"/>
      <c r="Y743" s="3"/>
      <c r="Z743" s="50"/>
    </row>
    <row r="744" spans="1:26" ht="15.75">
      <c r="A744" s="1"/>
      <c r="X744" s="3"/>
      <c r="Y744" s="3"/>
      <c r="Z744" s="50"/>
    </row>
    <row r="745" spans="1:26" ht="15.75">
      <c r="A745" s="1"/>
      <c r="X745" s="3"/>
      <c r="Y745" s="3"/>
      <c r="Z745" s="50"/>
    </row>
    <row r="746" spans="1:26" ht="15.75">
      <c r="A746" s="1"/>
      <c r="X746" s="3"/>
      <c r="Y746" s="3"/>
      <c r="Z746" s="50"/>
    </row>
    <row r="747" spans="1:26" ht="15.75">
      <c r="A747" s="1"/>
      <c r="X747" s="3"/>
      <c r="Y747" s="3"/>
      <c r="Z747" s="50"/>
    </row>
    <row r="748" spans="1:26" ht="15.75">
      <c r="A748" s="1"/>
      <c r="X748" s="3"/>
      <c r="Y748" s="3"/>
      <c r="Z748" s="50"/>
    </row>
    <row r="749" spans="1:26" ht="15.75">
      <c r="A749" s="1"/>
      <c r="X749" s="3"/>
      <c r="Y749" s="3"/>
      <c r="Z749" s="50"/>
    </row>
    <row r="750" spans="1:26" ht="15.75">
      <c r="A750" s="1"/>
      <c r="X750" s="3"/>
      <c r="Y750" s="3"/>
      <c r="Z750" s="50"/>
    </row>
    <row r="751" spans="1:26" ht="15.75">
      <c r="A751" s="1"/>
      <c r="X751" s="3"/>
      <c r="Y751" s="3"/>
      <c r="Z751" s="50"/>
    </row>
    <row r="752" spans="1:26" ht="15.75">
      <c r="A752" s="1"/>
      <c r="X752" s="3"/>
      <c r="Y752" s="3"/>
      <c r="Z752" s="50"/>
    </row>
    <row r="753" spans="1:26" ht="15.75">
      <c r="A753" s="1"/>
      <c r="X753" s="3"/>
      <c r="Y753" s="3"/>
      <c r="Z753" s="50"/>
    </row>
    <row r="754" spans="1:26" ht="15.75">
      <c r="A754" s="1"/>
      <c r="X754" s="3"/>
      <c r="Y754" s="3"/>
      <c r="Z754" s="50"/>
    </row>
    <row r="755" spans="1:26" ht="15.75">
      <c r="A755" s="1"/>
      <c r="X755" s="3"/>
      <c r="Y755" s="3"/>
      <c r="Z755" s="50"/>
    </row>
    <row r="756" spans="1:26" ht="15.75">
      <c r="A756" s="1"/>
      <c r="X756" s="3"/>
      <c r="Y756" s="3"/>
      <c r="Z756" s="50"/>
    </row>
    <row r="757" spans="1:26" ht="15.75">
      <c r="A757" s="1"/>
      <c r="X757" s="3"/>
      <c r="Y757" s="3"/>
      <c r="Z757" s="50"/>
    </row>
    <row r="758" spans="1:26" ht="15.75">
      <c r="A758" s="1"/>
      <c r="X758" s="3"/>
      <c r="Y758" s="3"/>
      <c r="Z758" s="50"/>
    </row>
    <row r="759" spans="1:26" ht="15.75">
      <c r="A759" s="1"/>
      <c r="X759" s="3"/>
      <c r="Y759" s="3"/>
      <c r="Z759" s="50"/>
    </row>
    <row r="760" spans="1:26" ht="15.75">
      <c r="A760" s="1"/>
      <c r="X760" s="3"/>
      <c r="Y760" s="3"/>
      <c r="Z760" s="50"/>
    </row>
    <row r="761" spans="1:26" ht="15.75">
      <c r="A761" s="1"/>
      <c r="X761" s="3"/>
      <c r="Y761" s="3"/>
      <c r="Z761" s="50"/>
    </row>
    <row r="762" spans="1:26" ht="15.75">
      <c r="A762" s="1"/>
      <c r="X762" s="3"/>
      <c r="Y762" s="3"/>
      <c r="Z762" s="50"/>
    </row>
    <row r="763" spans="1:26" ht="15.75">
      <c r="A763" s="1"/>
      <c r="X763" s="3"/>
      <c r="Y763" s="3"/>
      <c r="Z763" s="50"/>
    </row>
    <row r="764" spans="1:26" ht="15.75">
      <c r="A764" s="1"/>
      <c r="X764" s="3"/>
      <c r="Y764" s="3"/>
      <c r="Z764" s="50"/>
    </row>
    <row r="765" spans="1:26" ht="15.75">
      <c r="A765" s="1"/>
      <c r="X765" s="3"/>
      <c r="Y765" s="3"/>
      <c r="Z765" s="50"/>
    </row>
    <row r="766" spans="1:26" ht="15.75">
      <c r="A766" s="1"/>
      <c r="X766" s="3"/>
      <c r="Y766" s="3"/>
      <c r="Z766" s="50"/>
    </row>
    <row r="767" spans="1:26" ht="15.75">
      <c r="A767" s="1"/>
      <c r="X767" s="3"/>
      <c r="Y767" s="3"/>
      <c r="Z767" s="50"/>
    </row>
    <row r="768" spans="1:26" ht="15.75">
      <c r="A768" s="1"/>
      <c r="X768" s="3"/>
      <c r="Y768" s="3"/>
      <c r="Z768" s="50"/>
    </row>
    <row r="769" spans="1:26" ht="15.75">
      <c r="A769" s="1"/>
      <c r="X769" s="3"/>
      <c r="Y769" s="3"/>
      <c r="Z769" s="50"/>
    </row>
    <row r="770" spans="1:26" ht="15.75">
      <c r="A770" s="1"/>
      <c r="X770" s="3"/>
      <c r="Y770" s="3"/>
      <c r="Z770" s="50"/>
    </row>
    <row r="771" spans="1:26" ht="15.75">
      <c r="A771" s="1"/>
      <c r="X771" s="3"/>
      <c r="Y771" s="3"/>
      <c r="Z771" s="50"/>
    </row>
    <row r="772" spans="1:26" ht="15.75">
      <c r="A772" s="1"/>
      <c r="X772" s="3"/>
      <c r="Y772" s="3"/>
      <c r="Z772" s="50"/>
    </row>
    <row r="773" spans="1:26" ht="15.75">
      <c r="A773" s="1"/>
      <c r="X773" s="3"/>
      <c r="Y773" s="3"/>
      <c r="Z773" s="50"/>
    </row>
    <row r="774" spans="1:26" ht="15.75">
      <c r="A774" s="1"/>
      <c r="X774" s="3"/>
      <c r="Y774" s="3"/>
      <c r="Z774" s="50"/>
    </row>
    <row r="775" spans="1:26" ht="15.75">
      <c r="A775" s="1"/>
      <c r="X775" s="3"/>
      <c r="Y775" s="3"/>
      <c r="Z775" s="50"/>
    </row>
    <row r="776" spans="1:26" ht="15.75">
      <c r="A776" s="1"/>
      <c r="X776" s="3"/>
      <c r="Y776" s="3"/>
      <c r="Z776" s="50"/>
    </row>
    <row r="777" spans="1:26" ht="15.75">
      <c r="A777" s="1"/>
      <c r="X777" s="3"/>
      <c r="Y777" s="3"/>
      <c r="Z777" s="50"/>
    </row>
    <row r="778" spans="1:26" ht="15.75">
      <c r="A778" s="1"/>
      <c r="X778" s="3"/>
      <c r="Y778" s="3"/>
      <c r="Z778" s="50"/>
    </row>
    <row r="779" spans="1:26" ht="15.75">
      <c r="A779" s="1"/>
      <c r="X779" s="3"/>
      <c r="Y779" s="3"/>
      <c r="Z779" s="50"/>
    </row>
    <row r="780" spans="1:26" ht="15.75">
      <c r="A780" s="1"/>
      <c r="X780" s="3"/>
      <c r="Y780" s="3"/>
      <c r="Z780" s="50"/>
    </row>
    <row r="781" spans="1:26" ht="15.75">
      <c r="A781" s="1"/>
      <c r="X781" s="3"/>
      <c r="Y781" s="3"/>
      <c r="Z781" s="50"/>
    </row>
    <row r="782" spans="1:26" ht="15.75">
      <c r="A782" s="1"/>
      <c r="X782" s="3"/>
      <c r="Y782" s="3"/>
      <c r="Z782" s="50"/>
    </row>
    <row r="783" spans="1:26" ht="15.75">
      <c r="A783" s="1"/>
      <c r="X783" s="3"/>
      <c r="Y783" s="3"/>
      <c r="Z783" s="50"/>
    </row>
    <row r="784" spans="1:26" ht="15.75">
      <c r="A784" s="1"/>
      <c r="X784" s="3"/>
      <c r="Y784" s="3"/>
      <c r="Z784" s="50"/>
    </row>
    <row r="785" spans="1:26" ht="15.75">
      <c r="A785" s="1"/>
      <c r="X785" s="3"/>
      <c r="Y785" s="3"/>
      <c r="Z785" s="50"/>
    </row>
    <row r="786" spans="1:26" ht="15.75">
      <c r="A786" s="1"/>
      <c r="X786" s="3"/>
      <c r="Y786" s="3"/>
      <c r="Z786" s="50"/>
    </row>
    <row r="787" spans="1:26" ht="15.75">
      <c r="A787" s="1"/>
      <c r="X787" s="3"/>
      <c r="Y787" s="3"/>
      <c r="Z787" s="50"/>
    </row>
    <row r="788" spans="1:26" ht="15.75">
      <c r="A788" s="1"/>
      <c r="X788" s="3"/>
      <c r="Y788" s="3"/>
      <c r="Z788" s="50"/>
    </row>
    <row r="789" spans="1:26" ht="15.75">
      <c r="A789" s="1"/>
      <c r="X789" s="3"/>
      <c r="Y789" s="3"/>
      <c r="Z789" s="50"/>
    </row>
    <row r="790" spans="1:26" ht="15.75">
      <c r="A790" s="1"/>
      <c r="X790" s="3"/>
      <c r="Y790" s="3"/>
      <c r="Z790" s="50"/>
    </row>
    <row r="791" spans="1:26" ht="15.75">
      <c r="A791" s="1"/>
      <c r="X791" s="3"/>
      <c r="Y791" s="3"/>
      <c r="Z791" s="50"/>
    </row>
    <row r="792" spans="1:26" ht="15.75">
      <c r="A792" s="1"/>
      <c r="X792" s="3"/>
      <c r="Y792" s="3"/>
      <c r="Z792" s="50"/>
    </row>
    <row r="793" spans="1:26" ht="15.75">
      <c r="A793" s="1"/>
      <c r="X793" s="3"/>
      <c r="Y793" s="3"/>
      <c r="Z793" s="50"/>
    </row>
    <row r="794" spans="1:26" ht="15.75">
      <c r="A794" s="1"/>
      <c r="X794" s="3"/>
      <c r="Y794" s="3"/>
      <c r="Z794" s="50"/>
    </row>
    <row r="795" spans="1:26" ht="15.75">
      <c r="A795" s="1"/>
      <c r="X795" s="3"/>
      <c r="Y795" s="3"/>
      <c r="Z795" s="50"/>
    </row>
    <row r="796" spans="1:26" ht="15.75">
      <c r="A796" s="1"/>
      <c r="X796" s="3"/>
      <c r="Y796" s="3"/>
      <c r="Z796" s="50"/>
    </row>
    <row r="797" spans="1:26" ht="15.75">
      <c r="A797" s="1"/>
      <c r="X797" s="3"/>
      <c r="Y797" s="3"/>
      <c r="Z797" s="50"/>
    </row>
    <row r="798" spans="1:26" ht="15.75">
      <c r="A798" s="1"/>
      <c r="X798" s="3"/>
      <c r="Y798" s="3"/>
      <c r="Z798" s="50"/>
    </row>
    <row r="799" spans="1:26" ht="15.75">
      <c r="A799" s="1"/>
      <c r="X799" s="3"/>
      <c r="Y799" s="3"/>
      <c r="Z799" s="50"/>
    </row>
    <row r="800" spans="1:26" ht="15.75">
      <c r="A800" s="1"/>
      <c r="X800" s="3"/>
      <c r="Y800" s="3"/>
      <c r="Z800" s="50"/>
    </row>
    <row r="801" spans="1:26" ht="15.75">
      <c r="A801" s="1"/>
      <c r="X801" s="3"/>
      <c r="Y801" s="3"/>
      <c r="Z801" s="50"/>
    </row>
    <row r="802" spans="1:26" ht="15.75">
      <c r="A802" s="1"/>
      <c r="X802" s="3"/>
      <c r="Y802" s="3"/>
      <c r="Z802" s="50"/>
    </row>
    <row r="803" spans="1:26" ht="15.75">
      <c r="A803" s="1"/>
      <c r="X803" s="3"/>
      <c r="Y803" s="3"/>
      <c r="Z803" s="50"/>
    </row>
    <row r="804" spans="1:26" ht="15.75">
      <c r="A804" s="1"/>
      <c r="X804" s="3"/>
      <c r="Y804" s="3"/>
      <c r="Z804" s="50"/>
    </row>
    <row r="805" spans="1:26" ht="15.75">
      <c r="A805" s="1"/>
      <c r="X805" s="3"/>
      <c r="Y805" s="3"/>
      <c r="Z805" s="50"/>
    </row>
    <row r="806" spans="1:26" ht="15.75">
      <c r="A806" s="1"/>
      <c r="X806" s="3"/>
      <c r="Y806" s="3"/>
      <c r="Z806" s="50"/>
    </row>
    <row r="807" spans="1:26" ht="15.75">
      <c r="A807" s="1"/>
      <c r="X807" s="3"/>
      <c r="Y807" s="3"/>
      <c r="Z807" s="50"/>
    </row>
    <row r="808" spans="1:26" ht="15.75">
      <c r="A808" s="1"/>
      <c r="X808" s="3"/>
      <c r="Y808" s="3"/>
      <c r="Z808" s="50"/>
    </row>
    <row r="809" spans="1:26" ht="15.75">
      <c r="A809" s="1"/>
      <c r="X809" s="3"/>
      <c r="Y809" s="3"/>
      <c r="Z809" s="50"/>
    </row>
    <row r="810" spans="1:26" ht="15.75">
      <c r="A810" s="1"/>
      <c r="X810" s="3"/>
      <c r="Y810" s="3"/>
      <c r="Z810" s="50"/>
    </row>
    <row r="811" spans="1:26" ht="15.75">
      <c r="A811" s="1"/>
      <c r="X811" s="3"/>
      <c r="Y811" s="3"/>
      <c r="Z811" s="50"/>
    </row>
    <row r="812" spans="1:26" ht="15.75">
      <c r="A812" s="1"/>
      <c r="X812" s="3"/>
      <c r="Y812" s="3"/>
      <c r="Z812" s="50"/>
    </row>
    <row r="813" spans="1:26" ht="15.75">
      <c r="A813" s="1"/>
      <c r="X813" s="3"/>
      <c r="Y813" s="3"/>
      <c r="Z813" s="50"/>
    </row>
    <row r="814" spans="1:26" ht="15.75">
      <c r="A814" s="1"/>
      <c r="X814" s="3"/>
      <c r="Y814" s="3"/>
      <c r="Z814" s="50"/>
    </row>
    <row r="815" spans="1:26" ht="15.75">
      <c r="A815" s="1"/>
      <c r="X815" s="3"/>
      <c r="Y815" s="3"/>
      <c r="Z815" s="50"/>
    </row>
    <row r="816" spans="1:26" ht="15.75">
      <c r="A816" s="1"/>
      <c r="X816" s="3"/>
      <c r="Y816" s="3"/>
      <c r="Z816" s="50"/>
    </row>
    <row r="817" spans="1:26" ht="15.75">
      <c r="A817" s="1"/>
      <c r="X817" s="3"/>
      <c r="Y817" s="3"/>
      <c r="Z817" s="50"/>
    </row>
    <row r="818" spans="1:26" ht="15.75">
      <c r="A818" s="1"/>
      <c r="X818" s="3"/>
      <c r="Y818" s="3"/>
      <c r="Z818" s="50"/>
    </row>
    <row r="819" spans="1:26" ht="15.75">
      <c r="A819" s="1"/>
      <c r="X819" s="3"/>
      <c r="Y819" s="3"/>
      <c r="Z819" s="50"/>
    </row>
    <row r="820" spans="1:26" ht="15.75">
      <c r="A820" s="1"/>
      <c r="X820" s="3"/>
      <c r="Y820" s="3"/>
      <c r="Z820" s="50"/>
    </row>
    <row r="821" spans="1:26" ht="15.75">
      <c r="A821" s="1"/>
      <c r="X821" s="3"/>
      <c r="Y821" s="3"/>
      <c r="Z821" s="50"/>
    </row>
    <row r="822" spans="1:26" ht="15.75">
      <c r="A822" s="1"/>
      <c r="X822" s="3"/>
      <c r="Y822" s="3"/>
      <c r="Z822" s="50"/>
    </row>
    <row r="823" spans="1:26" ht="15.75">
      <c r="A823" s="1"/>
      <c r="X823" s="3"/>
      <c r="Y823" s="3"/>
      <c r="Z823" s="50"/>
    </row>
    <row r="824" spans="1:26" ht="15.75">
      <c r="A824" s="1"/>
      <c r="X824" s="3"/>
      <c r="Y824" s="3"/>
      <c r="Z824" s="50"/>
    </row>
    <row r="825" spans="1:26" ht="15.75">
      <c r="A825" s="1"/>
      <c r="X825" s="3"/>
      <c r="Y825" s="3"/>
      <c r="Z825" s="50"/>
    </row>
    <row r="826" spans="1:26" ht="15.75">
      <c r="A826" s="1"/>
      <c r="X826" s="3"/>
      <c r="Y826" s="3"/>
      <c r="Z826" s="50"/>
    </row>
    <row r="827" spans="1:26" ht="15.75">
      <c r="A827" s="1"/>
      <c r="X827" s="3"/>
      <c r="Y827" s="3"/>
      <c r="Z827" s="50"/>
    </row>
    <row r="828" spans="1:26" ht="15.75">
      <c r="A828" s="1"/>
      <c r="X828" s="3"/>
      <c r="Y828" s="3"/>
      <c r="Z828" s="50"/>
    </row>
    <row r="829" spans="1:26" ht="15.75">
      <c r="A829" s="1"/>
      <c r="X829" s="3"/>
      <c r="Y829" s="3"/>
      <c r="Z829" s="50"/>
    </row>
    <row r="830" spans="1:26" ht="15.75">
      <c r="A830" s="1"/>
      <c r="X830" s="3"/>
      <c r="Y830" s="3"/>
      <c r="Z830" s="50"/>
    </row>
    <row r="831" spans="1:26" ht="15.75">
      <c r="A831" s="1"/>
      <c r="X831" s="3"/>
      <c r="Y831" s="3"/>
      <c r="Z831" s="50"/>
    </row>
    <row r="832" spans="1:26" ht="15.75">
      <c r="A832" s="1"/>
      <c r="X832" s="3"/>
      <c r="Y832" s="3"/>
      <c r="Z832" s="50"/>
    </row>
    <row r="833" spans="1:26" ht="15.75">
      <c r="A833" s="1"/>
      <c r="X833" s="3"/>
      <c r="Y833" s="3"/>
      <c r="Z833" s="50"/>
    </row>
    <row r="834" spans="1:26" ht="15.75">
      <c r="A834" s="1"/>
      <c r="X834" s="3"/>
      <c r="Y834" s="3"/>
      <c r="Z834" s="50"/>
    </row>
    <row r="835" spans="1:26" ht="15.75">
      <c r="A835" s="1"/>
      <c r="X835" s="3"/>
      <c r="Y835" s="3"/>
      <c r="Z835" s="50"/>
    </row>
    <row r="836" spans="1:26" ht="15.75">
      <c r="A836" s="1"/>
      <c r="X836" s="3"/>
      <c r="Y836" s="3"/>
      <c r="Z836" s="50"/>
    </row>
    <row r="837" spans="1:26" ht="15.75">
      <c r="A837" s="1"/>
      <c r="X837" s="3"/>
      <c r="Y837" s="3"/>
      <c r="Z837" s="50"/>
    </row>
    <row r="838" spans="1:26" ht="15.75">
      <c r="A838" s="1"/>
      <c r="X838" s="3"/>
      <c r="Y838" s="3"/>
      <c r="Z838" s="50"/>
    </row>
    <row r="839" spans="1:26" ht="15.75">
      <c r="A839" s="1"/>
      <c r="X839" s="3"/>
      <c r="Y839" s="3"/>
      <c r="Z839" s="50"/>
    </row>
    <row r="840" spans="1:26" ht="15.75">
      <c r="A840" s="1"/>
      <c r="X840" s="3"/>
      <c r="Y840" s="3"/>
      <c r="Z840" s="50"/>
    </row>
    <row r="841" spans="1:26" ht="15.75">
      <c r="A841" s="1"/>
      <c r="X841" s="3"/>
      <c r="Y841" s="3"/>
      <c r="Z841" s="50"/>
    </row>
    <row r="842" spans="1:26" ht="15.75">
      <c r="A842" s="1"/>
      <c r="X842" s="3"/>
      <c r="Y842" s="3"/>
      <c r="Z842" s="50"/>
    </row>
    <row r="843" spans="1:26" ht="15.75">
      <c r="A843" s="1"/>
      <c r="X843" s="3"/>
      <c r="Y843" s="3"/>
      <c r="Z843" s="50"/>
    </row>
    <row r="844" spans="1:26" ht="15.75">
      <c r="A844" s="1"/>
      <c r="X844" s="3"/>
      <c r="Y844" s="3"/>
      <c r="Z844" s="50"/>
    </row>
    <row r="845" spans="1:26" ht="15.75">
      <c r="A845" s="1"/>
      <c r="X845" s="3"/>
      <c r="Y845" s="3"/>
      <c r="Z845" s="50"/>
    </row>
    <row r="846" spans="1:26" ht="15.75">
      <c r="A846" s="1"/>
      <c r="X846" s="3"/>
      <c r="Y846" s="3"/>
      <c r="Z846" s="50"/>
    </row>
    <row r="847" spans="1:26" ht="15.75">
      <c r="A847" s="1"/>
      <c r="X847" s="3"/>
      <c r="Y847" s="3"/>
      <c r="Z847" s="50"/>
    </row>
    <row r="848" spans="1:26" ht="15.75">
      <c r="A848" s="1"/>
      <c r="X848" s="3"/>
      <c r="Y848" s="3"/>
      <c r="Z848" s="50"/>
    </row>
    <row r="849" spans="1:26" ht="15.75">
      <c r="A849" s="1"/>
      <c r="X849" s="3"/>
      <c r="Y849" s="3"/>
      <c r="Z849" s="50"/>
    </row>
    <row r="850" spans="1:26" ht="15.75">
      <c r="A850" s="1"/>
      <c r="X850" s="3"/>
      <c r="Y850" s="3"/>
      <c r="Z850" s="50"/>
    </row>
    <row r="851" spans="1:26" ht="15.75">
      <c r="A851" s="1"/>
      <c r="X851" s="3"/>
      <c r="Y851" s="3"/>
      <c r="Z851" s="50"/>
    </row>
    <row r="852" spans="1:26" ht="15.75">
      <c r="A852" s="1"/>
      <c r="X852" s="3"/>
      <c r="Y852" s="3"/>
      <c r="Z852" s="50"/>
    </row>
    <row r="853" spans="1:26" ht="15.75">
      <c r="A853" s="1"/>
      <c r="X853" s="3"/>
      <c r="Y853" s="3"/>
      <c r="Z853" s="50"/>
    </row>
    <row r="854" spans="1:26" ht="15.75">
      <c r="A854" s="1"/>
      <c r="X854" s="3"/>
      <c r="Y854" s="3"/>
      <c r="Z854" s="50"/>
    </row>
    <row r="855" spans="1:26" ht="15.75">
      <c r="A855" s="1"/>
      <c r="X855" s="3"/>
      <c r="Y855" s="3"/>
      <c r="Z855" s="50"/>
    </row>
    <row r="856" spans="1:26" ht="15.75">
      <c r="A856" s="1"/>
      <c r="X856" s="3"/>
      <c r="Y856" s="3"/>
      <c r="Z856" s="50"/>
    </row>
    <row r="857" spans="1:26" ht="15.75">
      <c r="A857" s="1"/>
      <c r="X857" s="3"/>
      <c r="Y857" s="3"/>
      <c r="Z857" s="50"/>
    </row>
    <row r="858" spans="1:26" ht="15.75">
      <c r="A858" s="1"/>
      <c r="X858" s="3"/>
      <c r="Y858" s="3"/>
      <c r="Z858" s="50"/>
    </row>
    <row r="859" spans="1:26" ht="15.75">
      <c r="A859" s="1"/>
      <c r="X859" s="3"/>
      <c r="Y859" s="3"/>
      <c r="Z859" s="50"/>
    </row>
    <row r="860" spans="1:26" ht="15.75">
      <c r="A860" s="1"/>
      <c r="X860" s="3"/>
      <c r="Y860" s="3"/>
      <c r="Z860" s="50"/>
    </row>
    <row r="861" spans="1:26" ht="15.75">
      <c r="A861" s="1"/>
      <c r="X861" s="3"/>
      <c r="Y861" s="3"/>
      <c r="Z861" s="50"/>
    </row>
    <row r="862" spans="1:26" ht="15.75">
      <c r="A862" s="1"/>
      <c r="X862" s="3"/>
      <c r="Y862" s="3"/>
      <c r="Z862" s="50"/>
    </row>
    <row r="863" spans="1:26" ht="15.75">
      <c r="A863" s="1"/>
      <c r="X863" s="3"/>
      <c r="Y863" s="3"/>
      <c r="Z863" s="50"/>
    </row>
    <row r="864" spans="1:26" ht="15.75">
      <c r="A864" s="1"/>
      <c r="X864" s="3"/>
      <c r="Y864" s="3"/>
      <c r="Z864" s="50"/>
    </row>
    <row r="865" spans="1:26" ht="15.75">
      <c r="A865" s="1"/>
      <c r="X865" s="3"/>
      <c r="Y865" s="3"/>
      <c r="Z865" s="50"/>
    </row>
    <row r="866" spans="1:26" ht="15.75">
      <c r="A866" s="1"/>
      <c r="X866" s="3"/>
      <c r="Y866" s="3"/>
      <c r="Z866" s="50"/>
    </row>
    <row r="867" spans="1:26" ht="15.75">
      <c r="A867" s="1"/>
      <c r="X867" s="3"/>
      <c r="Y867" s="3"/>
      <c r="Z867" s="50"/>
    </row>
    <row r="868" spans="1:26" ht="15.75">
      <c r="A868" s="1"/>
      <c r="X868" s="3"/>
      <c r="Y868" s="3"/>
      <c r="Z868" s="50"/>
    </row>
    <row r="869" spans="1:26" ht="15.75">
      <c r="A869" s="1"/>
      <c r="X869" s="3"/>
      <c r="Y869" s="3"/>
      <c r="Z869" s="50"/>
    </row>
    <row r="870" spans="1:26" ht="15.75">
      <c r="A870" s="1"/>
      <c r="X870" s="3"/>
      <c r="Y870" s="3"/>
      <c r="Z870" s="50"/>
    </row>
    <row r="871" spans="1:26" ht="15.75">
      <c r="A871" s="1"/>
      <c r="X871" s="3"/>
      <c r="Y871" s="3"/>
      <c r="Z871" s="50"/>
    </row>
    <row r="872" spans="1:26" ht="15.75">
      <c r="A872" s="1"/>
      <c r="X872" s="3"/>
      <c r="Y872" s="3"/>
      <c r="Z872" s="50"/>
    </row>
    <row r="873" spans="1:26" ht="15.75">
      <c r="A873" s="1"/>
      <c r="X873" s="3"/>
      <c r="Y873" s="3"/>
      <c r="Z873" s="50"/>
    </row>
    <row r="874" spans="1:26" ht="15.75">
      <c r="A874" s="1"/>
      <c r="X874" s="3"/>
      <c r="Y874" s="3"/>
      <c r="Z874" s="50"/>
    </row>
    <row r="875" spans="1:26" ht="15.75">
      <c r="A875" s="1"/>
      <c r="X875" s="3"/>
      <c r="Y875" s="3"/>
      <c r="Z875" s="50"/>
    </row>
    <row r="876" spans="1:26" ht="15.75">
      <c r="A876" s="1"/>
      <c r="X876" s="3"/>
      <c r="Y876" s="3"/>
      <c r="Z876" s="50"/>
    </row>
    <row r="877" spans="1:26" ht="15.75">
      <c r="A877" s="1"/>
      <c r="X877" s="3"/>
      <c r="Y877" s="3"/>
      <c r="Z877" s="50"/>
    </row>
    <row r="878" spans="1:26" ht="15.75">
      <c r="A878" s="1"/>
      <c r="X878" s="3"/>
      <c r="Y878" s="3"/>
      <c r="Z878" s="50"/>
    </row>
    <row r="879" spans="1:26" ht="15.75">
      <c r="A879" s="1"/>
      <c r="X879" s="3"/>
      <c r="Y879" s="3"/>
      <c r="Z879" s="50"/>
    </row>
    <row r="880" spans="1:26" ht="15.75">
      <c r="A880" s="1"/>
      <c r="X880" s="3"/>
      <c r="Y880" s="3"/>
      <c r="Z880" s="50"/>
    </row>
    <row r="881" spans="1:26" ht="15.75">
      <c r="A881" s="1"/>
      <c r="X881" s="3"/>
      <c r="Y881" s="3"/>
      <c r="Z881" s="50"/>
    </row>
    <row r="882" spans="1:26" ht="15.75">
      <c r="A882" s="1"/>
      <c r="X882" s="3"/>
      <c r="Y882" s="3"/>
      <c r="Z882" s="50"/>
    </row>
    <row r="883" spans="1:26" ht="15.75">
      <c r="A883" s="1"/>
      <c r="X883" s="3"/>
      <c r="Y883" s="3"/>
      <c r="Z883" s="50"/>
    </row>
    <row r="884" spans="1:26" ht="15.75">
      <c r="A884" s="1"/>
      <c r="X884" s="3"/>
      <c r="Y884" s="3"/>
      <c r="Z884" s="50"/>
    </row>
    <row r="885" spans="1:26" ht="15.75">
      <c r="A885" s="1"/>
      <c r="X885" s="3"/>
      <c r="Y885" s="3"/>
      <c r="Z885" s="50"/>
    </row>
    <row r="886" spans="1:26" ht="15.75">
      <c r="A886" s="1"/>
      <c r="X886" s="3"/>
      <c r="Y886" s="3"/>
      <c r="Z886" s="50"/>
    </row>
    <row r="887" spans="1:26" ht="15.75">
      <c r="A887" s="1"/>
      <c r="X887" s="3"/>
      <c r="Y887" s="3"/>
      <c r="Z887" s="50"/>
    </row>
    <row r="888" spans="1:26" ht="15.75">
      <c r="A888" s="1"/>
      <c r="X888" s="3"/>
      <c r="Y888" s="3"/>
      <c r="Z888" s="50"/>
    </row>
    <row r="889" spans="1:26" ht="15.75">
      <c r="A889" s="1"/>
      <c r="X889" s="3"/>
      <c r="Y889" s="3"/>
      <c r="Z889" s="50"/>
    </row>
    <row r="890" spans="1:26" ht="15.75">
      <c r="A890" s="1"/>
      <c r="X890" s="3"/>
      <c r="Y890" s="3"/>
      <c r="Z890" s="50"/>
    </row>
    <row r="891" spans="1:26" ht="15.75">
      <c r="A891" s="1"/>
      <c r="X891" s="3"/>
      <c r="Y891" s="3"/>
      <c r="Z891" s="50"/>
    </row>
    <row r="892" spans="1:26" ht="15.75">
      <c r="A892" s="1"/>
      <c r="X892" s="3"/>
      <c r="Y892" s="3"/>
      <c r="Z892" s="50"/>
    </row>
    <row r="893" spans="1:26" ht="15.75">
      <c r="A893" s="1"/>
      <c r="X893" s="3"/>
      <c r="Y893" s="3"/>
      <c r="Z893" s="50"/>
    </row>
    <row r="894" spans="1:26" ht="15.75">
      <c r="A894" s="1"/>
      <c r="X894" s="3"/>
      <c r="Y894" s="3"/>
      <c r="Z894" s="50"/>
    </row>
    <row r="895" spans="1:26" ht="15.75">
      <c r="A895" s="1"/>
      <c r="X895" s="3"/>
      <c r="Y895" s="3"/>
      <c r="Z895" s="50"/>
    </row>
    <row r="896" spans="1:26" ht="15.75">
      <c r="A896" s="1"/>
      <c r="X896" s="3"/>
      <c r="Y896" s="3"/>
      <c r="Z896" s="50"/>
    </row>
    <row r="897" spans="1:26" ht="15.75">
      <c r="A897" s="1"/>
      <c r="X897" s="3"/>
      <c r="Y897" s="3"/>
      <c r="Z897" s="50"/>
    </row>
    <row r="898" spans="1:26" ht="15.75">
      <c r="A898" s="1"/>
      <c r="X898" s="3"/>
      <c r="Y898" s="3"/>
      <c r="Z898" s="50"/>
    </row>
    <row r="899" spans="1:26" ht="15.75">
      <c r="A899" s="1"/>
      <c r="X899" s="3"/>
      <c r="Y899" s="3"/>
      <c r="Z899" s="50"/>
    </row>
    <row r="900" spans="1:26" ht="15.75">
      <c r="A900" s="1"/>
      <c r="X900" s="3"/>
      <c r="Y900" s="3"/>
      <c r="Z900" s="50"/>
    </row>
    <row r="901" spans="1:26" ht="15.75">
      <c r="A901" s="1"/>
      <c r="X901" s="3"/>
      <c r="Y901" s="3"/>
      <c r="Z901" s="50"/>
    </row>
    <row r="902" spans="1:26" ht="15.75">
      <c r="A902" s="1"/>
      <c r="X902" s="3"/>
      <c r="Y902" s="3"/>
      <c r="Z902" s="50"/>
    </row>
    <row r="903" spans="1:26" ht="15.75">
      <c r="A903" s="1"/>
      <c r="X903" s="3"/>
      <c r="Y903" s="3"/>
      <c r="Z903" s="50"/>
    </row>
    <row r="904" spans="1:26" ht="15.75">
      <c r="A904" s="1"/>
      <c r="X904" s="3"/>
      <c r="Y904" s="3"/>
      <c r="Z904" s="50"/>
    </row>
    <row r="905" spans="1:26" ht="15.75">
      <c r="A905" s="1"/>
      <c r="X905" s="3"/>
      <c r="Y905" s="3"/>
      <c r="Z905" s="50"/>
    </row>
    <row r="906" spans="1:26" ht="15.75">
      <c r="A906" s="1"/>
      <c r="X906" s="3"/>
      <c r="Y906" s="3"/>
      <c r="Z906" s="50"/>
    </row>
    <row r="907" spans="1:26" ht="15.75">
      <c r="A907" s="1"/>
      <c r="X907" s="3"/>
      <c r="Y907" s="3"/>
      <c r="Z907" s="50"/>
    </row>
    <row r="908" spans="1:26" ht="15.75">
      <c r="A908" s="1"/>
      <c r="X908" s="3"/>
      <c r="Y908" s="3"/>
      <c r="Z908" s="50"/>
    </row>
    <row r="909" spans="1:26" ht="15.75">
      <c r="A909" s="1"/>
      <c r="X909" s="3"/>
      <c r="Y909" s="3"/>
      <c r="Z909" s="50"/>
    </row>
    <row r="910" spans="1:26" ht="15.75">
      <c r="A910" s="1"/>
      <c r="X910" s="3"/>
      <c r="Y910" s="3"/>
      <c r="Z910" s="50"/>
    </row>
    <row r="911" spans="1:26" ht="15.75">
      <c r="A911" s="1"/>
      <c r="X911" s="3"/>
      <c r="Y911" s="3"/>
      <c r="Z911" s="50"/>
    </row>
    <row r="912" spans="1:26" ht="15.75">
      <c r="A912" s="1"/>
      <c r="X912" s="3"/>
      <c r="Y912" s="3"/>
      <c r="Z912" s="50"/>
    </row>
    <row r="913" spans="1:26" ht="15.75">
      <c r="A913" s="1"/>
      <c r="X913" s="3"/>
      <c r="Y913" s="3"/>
      <c r="Z913" s="50"/>
    </row>
    <row r="914" spans="1:26" ht="15.75">
      <c r="A914" s="1"/>
      <c r="X914" s="3"/>
      <c r="Y914" s="3"/>
      <c r="Z914" s="50"/>
    </row>
    <row r="915" spans="1:26" ht="15.75">
      <c r="A915" s="1"/>
      <c r="X915" s="3"/>
      <c r="Y915" s="3"/>
      <c r="Z915" s="50"/>
    </row>
    <row r="916" spans="1:26" ht="15.75">
      <c r="A916" s="1"/>
      <c r="X916" s="3"/>
      <c r="Y916" s="3"/>
      <c r="Z916" s="50"/>
    </row>
    <row r="917" spans="1:26" ht="15.75">
      <c r="A917" s="1"/>
      <c r="X917" s="3"/>
      <c r="Y917" s="3"/>
      <c r="Z917" s="50"/>
    </row>
    <row r="918" spans="1:26" ht="15.75">
      <c r="A918" s="1"/>
      <c r="X918" s="3"/>
      <c r="Y918" s="3"/>
      <c r="Z918" s="50"/>
    </row>
    <row r="919" spans="1:26" ht="15.75">
      <c r="A919" s="1"/>
      <c r="X919" s="3"/>
      <c r="Y919" s="3"/>
      <c r="Z919" s="50"/>
    </row>
    <row r="920" spans="1:26" ht="15.75">
      <c r="A920" s="1"/>
      <c r="X920" s="3"/>
      <c r="Y920" s="3"/>
      <c r="Z920" s="50"/>
    </row>
    <row r="921" spans="1:26" ht="15.75">
      <c r="A921" s="1"/>
      <c r="X921" s="3"/>
      <c r="Y921" s="3"/>
      <c r="Z921" s="50"/>
    </row>
    <row r="922" spans="1:26" ht="15.75">
      <c r="A922" s="1"/>
      <c r="X922" s="3"/>
      <c r="Y922" s="3"/>
      <c r="Z922" s="50"/>
    </row>
    <row r="923" spans="1:26" ht="15.75">
      <c r="A923" s="1"/>
      <c r="X923" s="3"/>
      <c r="Y923" s="3"/>
      <c r="Z923" s="50"/>
    </row>
    <row r="924" spans="1:26" ht="15.75">
      <c r="A924" s="1"/>
      <c r="X924" s="3"/>
      <c r="Y924" s="3"/>
      <c r="Z924" s="50"/>
    </row>
    <row r="925" spans="1:26" ht="15.75">
      <c r="A925" s="1"/>
      <c r="X925" s="3"/>
      <c r="Y925" s="3"/>
      <c r="Z925" s="50"/>
    </row>
    <row r="926" spans="1:26" ht="15.75">
      <c r="A926" s="1"/>
      <c r="X926" s="3"/>
      <c r="Y926" s="3"/>
      <c r="Z926" s="50"/>
    </row>
    <row r="927" spans="1:26" ht="15.75">
      <c r="A927" s="1"/>
      <c r="X927" s="3"/>
      <c r="Y927" s="3"/>
      <c r="Z927" s="50"/>
    </row>
    <row r="928" spans="1:26" ht="15.75">
      <c r="A928" s="1"/>
      <c r="X928" s="3"/>
      <c r="Y928" s="3"/>
      <c r="Z928" s="50"/>
    </row>
    <row r="929" spans="1:26" ht="15.75">
      <c r="A929" s="1"/>
      <c r="X929" s="3"/>
      <c r="Y929" s="3"/>
      <c r="Z929" s="50"/>
    </row>
    <row r="930" spans="1:26" ht="15.75">
      <c r="A930" s="1"/>
      <c r="X930" s="3"/>
      <c r="Y930" s="3"/>
      <c r="Z930" s="50"/>
    </row>
    <row r="931" spans="1:26" ht="15.75">
      <c r="A931" s="1"/>
      <c r="X931" s="3"/>
      <c r="Y931" s="3"/>
      <c r="Z931" s="50"/>
    </row>
    <row r="932" spans="1:26" ht="15.75">
      <c r="A932" s="1"/>
      <c r="X932" s="3"/>
      <c r="Y932" s="3"/>
      <c r="Z932" s="50"/>
    </row>
    <row r="933" spans="1:26" ht="15.75">
      <c r="A933" s="1"/>
      <c r="X933" s="3"/>
      <c r="Y933" s="3"/>
      <c r="Z933" s="50"/>
    </row>
    <row r="934" spans="1:26" ht="15.75">
      <c r="A934" s="1"/>
      <c r="X934" s="3"/>
      <c r="Y934" s="3"/>
      <c r="Z934" s="50"/>
    </row>
    <row r="935" spans="1:26" ht="15.75">
      <c r="A935" s="1"/>
      <c r="X935" s="3"/>
      <c r="Y935" s="3"/>
      <c r="Z935" s="50"/>
    </row>
    <row r="936" spans="1:26" ht="15.75">
      <c r="A936" s="1"/>
      <c r="X936" s="3"/>
      <c r="Y936" s="3"/>
      <c r="Z936" s="50"/>
    </row>
    <row r="937" spans="1:26" ht="15.75">
      <c r="A937" s="1"/>
      <c r="X937" s="3"/>
      <c r="Y937" s="3"/>
      <c r="Z937" s="50"/>
    </row>
    <row r="938" spans="1:26" ht="15.75">
      <c r="A938" s="1"/>
      <c r="X938" s="3"/>
      <c r="Y938" s="3"/>
      <c r="Z938" s="50"/>
    </row>
    <row r="939" spans="1:26" ht="15.75">
      <c r="A939" s="1"/>
      <c r="X939" s="3"/>
      <c r="Y939" s="3"/>
      <c r="Z939" s="50"/>
    </row>
    <row r="940" spans="1:26" ht="15.75">
      <c r="A940" s="1"/>
      <c r="X940" s="3"/>
      <c r="Y940" s="3"/>
      <c r="Z940" s="50"/>
    </row>
    <row r="941" spans="1:26" ht="15.75">
      <c r="A941" s="1"/>
      <c r="X941" s="3"/>
      <c r="Y941" s="3"/>
      <c r="Z941" s="50"/>
    </row>
    <row r="942" spans="1:26" ht="15.75">
      <c r="A942" s="1"/>
      <c r="X942" s="3"/>
      <c r="Y942" s="3"/>
      <c r="Z942" s="50"/>
    </row>
    <row r="943" spans="1:26" ht="15.75">
      <c r="A943" s="1"/>
      <c r="X943" s="3"/>
      <c r="Y943" s="3"/>
      <c r="Z943" s="50"/>
    </row>
    <row r="944" spans="1:26" ht="15.75">
      <c r="A944" s="1"/>
      <c r="X944" s="3"/>
      <c r="Y944" s="3"/>
      <c r="Z944" s="50"/>
    </row>
    <row r="945" spans="1:26" ht="15.75">
      <c r="A945" s="1"/>
      <c r="X945" s="3"/>
      <c r="Y945" s="3"/>
      <c r="Z945" s="50"/>
    </row>
    <row r="946" spans="1:26" ht="15.75">
      <c r="A946" s="1"/>
      <c r="X946" s="3"/>
      <c r="Y946" s="3"/>
      <c r="Z946" s="50"/>
    </row>
    <row r="947" spans="1:26" ht="15.75">
      <c r="A947" s="1"/>
      <c r="X947" s="3"/>
      <c r="Y947" s="3"/>
      <c r="Z947" s="50"/>
    </row>
    <row r="948" spans="1:26" ht="15.75">
      <c r="A948" s="1"/>
      <c r="X948" s="3"/>
      <c r="Y948" s="3"/>
      <c r="Z948" s="50"/>
    </row>
    <row r="949" spans="1:26" ht="15.75">
      <c r="A949" s="1"/>
      <c r="X949" s="3"/>
      <c r="Y949" s="3"/>
      <c r="Z949" s="50"/>
    </row>
    <row r="950" spans="1:26" ht="15.75">
      <c r="A950" s="1"/>
      <c r="X950" s="3"/>
      <c r="Y950" s="3"/>
      <c r="Z950" s="50"/>
    </row>
    <row r="951" spans="1:26" ht="15.75">
      <c r="A951" s="1"/>
      <c r="X951" s="3"/>
      <c r="Y951" s="3"/>
      <c r="Z951" s="50"/>
    </row>
    <row r="952" spans="1:26" ht="15.75">
      <c r="A952" s="1"/>
      <c r="X952" s="3"/>
      <c r="Y952" s="3"/>
      <c r="Z952" s="50"/>
    </row>
    <row r="953" spans="1:26" ht="15.75">
      <c r="A953" s="1"/>
      <c r="X953" s="3"/>
      <c r="Y953" s="3"/>
      <c r="Z953" s="50"/>
    </row>
    <row r="954" spans="1:26" ht="15.75">
      <c r="A954" s="1"/>
      <c r="X954" s="3"/>
      <c r="Y954" s="3"/>
      <c r="Z954" s="50"/>
    </row>
    <row r="955" spans="1:26" ht="15.75">
      <c r="A955" s="1"/>
      <c r="X955" s="3"/>
      <c r="Y955" s="3"/>
      <c r="Z955" s="50"/>
    </row>
    <row r="956" spans="1:26" ht="15.75">
      <c r="A956" s="1"/>
      <c r="X956" s="3"/>
      <c r="Y956" s="3"/>
      <c r="Z956" s="50"/>
    </row>
    <row r="957" spans="1:26" ht="15.75">
      <c r="A957" s="1"/>
      <c r="X957" s="3"/>
      <c r="Y957" s="3"/>
      <c r="Z957" s="50"/>
    </row>
    <row r="958" spans="1:26" ht="15.75">
      <c r="A958" s="1"/>
      <c r="X958" s="3"/>
      <c r="Y958" s="3"/>
      <c r="Z958" s="50"/>
    </row>
    <row r="959" spans="1:26" ht="15.75">
      <c r="A959" s="1"/>
      <c r="X959" s="3"/>
      <c r="Y959" s="3"/>
      <c r="Z959" s="50"/>
    </row>
    <row r="960" spans="1:26" ht="15.75">
      <c r="A960" s="1"/>
      <c r="X960" s="3"/>
      <c r="Y960" s="3"/>
      <c r="Z960" s="50"/>
    </row>
    <row r="961" spans="1:26" ht="15.75">
      <c r="A961" s="1"/>
      <c r="X961" s="3"/>
      <c r="Y961" s="3"/>
      <c r="Z961" s="50"/>
    </row>
    <row r="962" spans="1:26" ht="15.75">
      <c r="A962" s="1"/>
      <c r="X962" s="3"/>
      <c r="Y962" s="3"/>
      <c r="Z962" s="50"/>
    </row>
    <row r="963" spans="1:26" ht="15.75">
      <c r="A963" s="1"/>
      <c r="X963" s="3"/>
      <c r="Y963" s="3"/>
      <c r="Z963" s="50"/>
    </row>
    <row r="964" spans="1:26" ht="15.75">
      <c r="A964" s="1"/>
      <c r="X964" s="3"/>
      <c r="Y964" s="3"/>
      <c r="Z964" s="50"/>
    </row>
    <row r="965" spans="1:26" ht="15.75">
      <c r="A965" s="1"/>
      <c r="X965" s="3"/>
      <c r="Y965" s="3"/>
      <c r="Z965" s="50"/>
    </row>
    <row r="966" spans="1:26" ht="15.75">
      <c r="A966" s="1"/>
      <c r="X966" s="3"/>
      <c r="Y966" s="3"/>
      <c r="Z966" s="50"/>
    </row>
    <row r="967" spans="1:26" ht="15.75">
      <c r="A967" s="1"/>
      <c r="X967" s="3"/>
      <c r="Y967" s="3"/>
      <c r="Z967" s="50"/>
    </row>
    <row r="968" spans="1:26" ht="15.75">
      <c r="A968" s="1"/>
      <c r="X968" s="3"/>
      <c r="Y968" s="3"/>
      <c r="Z968" s="50"/>
    </row>
    <row r="969" spans="1:26" ht="15.75">
      <c r="A969" s="1"/>
      <c r="X969" s="3"/>
      <c r="Y969" s="3"/>
      <c r="Z969" s="50"/>
    </row>
    <row r="970" spans="1:26" ht="15.75">
      <c r="A970" s="1"/>
      <c r="X970" s="3"/>
      <c r="Y970" s="3"/>
      <c r="Z970" s="50"/>
    </row>
    <row r="971" spans="1:26" ht="15.75">
      <c r="A971" s="1"/>
      <c r="X971" s="3"/>
      <c r="Y971" s="3"/>
      <c r="Z971" s="50"/>
    </row>
    <row r="972" spans="1:26" ht="15.75">
      <c r="A972" s="1"/>
      <c r="X972" s="3"/>
      <c r="Y972" s="3"/>
      <c r="Z972" s="50"/>
    </row>
    <row r="973" spans="1:26" ht="15.75">
      <c r="A973" s="1"/>
      <c r="X973" s="3"/>
      <c r="Y973" s="3"/>
      <c r="Z973" s="50"/>
    </row>
    <row r="974" spans="1:26" ht="15.75">
      <c r="A974" s="1"/>
      <c r="X974" s="3"/>
      <c r="Y974" s="3"/>
      <c r="Z974" s="50"/>
    </row>
    <row r="975" spans="1:26" ht="15.75">
      <c r="A975" s="1"/>
      <c r="X975" s="3"/>
      <c r="Y975" s="3"/>
      <c r="Z975" s="50"/>
    </row>
    <row r="976" spans="1:26" ht="15.75">
      <c r="A976" s="1"/>
      <c r="X976" s="3"/>
      <c r="Y976" s="3"/>
      <c r="Z976" s="50"/>
    </row>
    <row r="977" spans="1:26" ht="15.75">
      <c r="A977" s="1"/>
      <c r="X977" s="3"/>
      <c r="Y977" s="3"/>
      <c r="Z977" s="50"/>
    </row>
    <row r="978" spans="1:26" ht="15.75">
      <c r="A978" s="1"/>
      <c r="X978" s="3"/>
      <c r="Y978" s="3"/>
      <c r="Z978" s="50"/>
    </row>
    <row r="979" spans="1:26" ht="15.75">
      <c r="A979" s="1"/>
      <c r="X979" s="3"/>
      <c r="Y979" s="3"/>
      <c r="Z979" s="50"/>
    </row>
    <row r="980" spans="1:26" ht="15.75">
      <c r="A980" s="1"/>
      <c r="X980" s="3"/>
      <c r="Y980" s="3"/>
      <c r="Z980" s="50"/>
    </row>
    <row r="981" spans="1:26" ht="15.75">
      <c r="A981" s="1"/>
      <c r="X981" s="3"/>
      <c r="Y981" s="3"/>
      <c r="Z981" s="50"/>
    </row>
    <row r="982" spans="1:26" ht="15.75">
      <c r="A982" s="1"/>
      <c r="X982" s="3"/>
      <c r="Y982" s="3"/>
      <c r="Z982" s="50"/>
    </row>
    <row r="983" spans="1:26" ht="15.75">
      <c r="A983" s="1"/>
      <c r="X983" s="3"/>
      <c r="Y983" s="3"/>
      <c r="Z983" s="50"/>
    </row>
    <row r="984" spans="1:26" ht="15.75">
      <c r="A984" s="1"/>
      <c r="X984" s="3"/>
      <c r="Y984" s="3"/>
      <c r="Z984" s="50"/>
    </row>
    <row r="985" spans="1:26" ht="15.75">
      <c r="A985" s="1"/>
      <c r="X985" s="3"/>
      <c r="Y985" s="3"/>
      <c r="Z985" s="50"/>
    </row>
    <row r="986" spans="1:26" ht="15.75">
      <c r="A986" s="1"/>
      <c r="X986" s="3"/>
      <c r="Y986" s="3"/>
      <c r="Z986" s="50"/>
    </row>
    <row r="987" spans="1:26" ht="15.75">
      <c r="A987" s="1"/>
      <c r="X987" s="3"/>
      <c r="Y987" s="3"/>
      <c r="Z987" s="50"/>
    </row>
    <row r="988" spans="1:26" ht="15.75">
      <c r="A988" s="1"/>
      <c r="X988" s="3"/>
      <c r="Y988" s="3"/>
      <c r="Z988" s="50"/>
    </row>
    <row r="989" spans="1:26" ht="15.75">
      <c r="A989" s="1"/>
      <c r="X989" s="3"/>
      <c r="Y989" s="3"/>
      <c r="Z989" s="50"/>
    </row>
    <row r="990" spans="1:26" ht="15.75">
      <c r="A990" s="1"/>
      <c r="X990" s="3"/>
      <c r="Y990" s="3"/>
      <c r="Z990" s="50"/>
    </row>
    <row r="991" spans="1:26" ht="15.75">
      <c r="A991" s="1"/>
      <c r="X991" s="3"/>
      <c r="Y991" s="3"/>
      <c r="Z991" s="50"/>
    </row>
    <row r="992" spans="1:26" ht="15.75">
      <c r="A992" s="1"/>
      <c r="X992" s="3"/>
      <c r="Y992" s="3"/>
      <c r="Z992" s="50"/>
    </row>
    <row r="993" spans="1:26" ht="15.75">
      <c r="A993" s="1"/>
      <c r="X993" s="3"/>
      <c r="Y993" s="3"/>
      <c r="Z993" s="50"/>
    </row>
    <row r="994" spans="1:26" ht="15.75">
      <c r="A994" s="1"/>
      <c r="X994" s="3"/>
      <c r="Y994" s="3"/>
      <c r="Z994" s="50"/>
    </row>
    <row r="995" spans="1:26" ht="15.75">
      <c r="A995" s="1"/>
      <c r="X995" s="3"/>
      <c r="Y995" s="3"/>
      <c r="Z995" s="50"/>
    </row>
    <row r="996" spans="1:26" ht="15.75">
      <c r="A996" s="1"/>
      <c r="X996" s="3"/>
      <c r="Y996" s="3"/>
      <c r="Z996" s="50"/>
    </row>
    <row r="997" spans="1:26" ht="15.75">
      <c r="A997" s="1"/>
      <c r="X997" s="3"/>
      <c r="Y997" s="3"/>
      <c r="Z997" s="50"/>
    </row>
    <row r="998" spans="1:26" ht="15.75">
      <c r="A998" s="1"/>
      <c r="X998" s="3"/>
      <c r="Y998" s="3"/>
      <c r="Z998" s="50"/>
    </row>
    <row r="999" spans="1:26" ht="15.75">
      <c r="A999" s="1"/>
      <c r="X999" s="3"/>
      <c r="Y999" s="3"/>
      <c r="Z999" s="50"/>
    </row>
    <row r="1000" spans="1:26" ht="15.75">
      <c r="A1000" s="1"/>
      <c r="X1000" s="3"/>
      <c r="Y1000" s="3"/>
      <c r="Z1000" s="50"/>
    </row>
  </sheetData>
  <sheetProtection/>
  <mergeCells count="12">
    <mergeCell ref="F14:G15"/>
    <mergeCell ref="A15:B15"/>
    <mergeCell ref="F16:G19"/>
    <mergeCell ref="C18:D19"/>
    <mergeCell ref="B21:G22"/>
    <mergeCell ref="A1:E1"/>
    <mergeCell ref="A3:D3"/>
    <mergeCell ref="A5:D14"/>
    <mergeCell ref="E5:E7"/>
    <mergeCell ref="F5:G7"/>
    <mergeCell ref="F8:G10"/>
    <mergeCell ref="F11:G13"/>
  </mergeCells>
  <hyperlinks>
    <hyperlink ref="V57" r:id="rId1" display="https://www.abelandcole.co.uk/shop/product/5080/crab-apples-organic-750g?altmenu=carrot"/>
  </hyperlinks>
  <printOptions/>
  <pageMargins left="0.7" right="0.7" top="0.75" bottom="0.75" header="0" footer="0"/>
  <pageSetup horizontalDpi="600" verticalDpi="600" orientation="landscape"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LJBirkin</dc:creator>
  <cp:keywords/>
  <dc:description/>
  <cp:lastModifiedBy>Linda Birkin</cp:lastModifiedBy>
  <dcterms:created xsi:type="dcterms:W3CDTF">2018-10-04T10:41:40Z</dcterms:created>
  <dcterms:modified xsi:type="dcterms:W3CDTF">2022-06-24T13:04:18Z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